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Dự án Quốc lộ 6\PA đền bù Đông Sơn\61PA Đông Sơn +DPY (GỬI ANH GIANG)\"/>
    </mc:Choice>
  </mc:AlternateContent>
  <bookViews>
    <workbookView xWindow="0" yWindow="0" windowWidth="28800" windowHeight="18000" firstSheet="71" activeTab="75"/>
  </bookViews>
  <sheets>
    <sheet name="Kangatang" sheetId="23" state="veryHidden" r:id="rId1"/>
    <sheet name="foxz" sheetId="32" state="hidden" r:id="rId2"/>
    <sheet name="foxz_2" sheetId="47" state="veryHidden" r:id="rId3"/>
    <sheet name="foxz_3" sheetId="48" state="veryHidden" r:id="rId4"/>
    <sheet name="foxz_4" sheetId="49" state="veryHidden" r:id="rId5"/>
    <sheet name="foxz_5" sheetId="50" state="veryHidden" r:id="rId6"/>
    <sheet name="foxz_6" sheetId="51" state="veryHidden" r:id="rId7"/>
    <sheet name="foxz_7" sheetId="52" state="veryHidden" r:id="rId8"/>
    <sheet name="foxz_8" sheetId="53" state="veryHidden" r:id="rId9"/>
    <sheet name="foxz_9" sheetId="54" state="veryHidden" r:id="rId10"/>
    <sheet name="foxz_10" sheetId="55" state="veryHidden" r:id="rId11"/>
    <sheet name="foxz_11" sheetId="75" state="veryHidden" r:id="rId12"/>
    <sheet name="foxz_12" sheetId="76" state="veryHidden" r:id="rId13"/>
    <sheet name="foxz_13" sheetId="77" state="veryHidden" r:id="rId14"/>
    <sheet name="foxz_14" sheetId="82" state="veryHidden" r:id="rId15"/>
    <sheet name="foxz_15" sheetId="86" state="veryHidden" r:id="rId16"/>
    <sheet name="foxz_16" sheetId="87" state="veryHidden" r:id="rId17"/>
    <sheet name="foxz_17" sheetId="88" state="veryHidden" r:id="rId18"/>
    <sheet name="foxz_18" sheetId="89" state="veryHidden" r:id="rId19"/>
    <sheet name="foxz_19" sheetId="90" state="veryHidden" r:id="rId20"/>
    <sheet name="foxz_20" sheetId="91" state="veryHidden" r:id="rId21"/>
    <sheet name="foxz_21" sheetId="92" state="veryHidden" r:id="rId22"/>
    <sheet name="foxz_22" sheetId="94" state="veryHidden" r:id="rId23"/>
    <sheet name="foxz_23" sheetId="96" state="veryHidden" r:id="rId24"/>
    <sheet name="foxz_24" sheetId="97" state="veryHidden" r:id="rId25"/>
    <sheet name="foxz_25" sheetId="98" state="veryHidden" r:id="rId26"/>
    <sheet name="foxz_26" sheetId="100" state="veryHidden" r:id="rId27"/>
    <sheet name="foxz_27" sheetId="101" state="veryHidden" r:id="rId28"/>
    <sheet name="foxz_28" sheetId="103" state="veryHidden" r:id="rId29"/>
    <sheet name="foxz_29" sheetId="104" state="veryHidden" r:id="rId30"/>
    <sheet name="foxz_30" sheetId="105" state="veryHidden" r:id="rId31"/>
    <sheet name="foxz_31" sheetId="106" state="veryHidden" r:id="rId32"/>
    <sheet name="foxz_32" sheetId="107" state="veryHidden" r:id="rId33"/>
    <sheet name="foxz_33" sheetId="108" state="veryHidden" r:id="rId34"/>
    <sheet name="foxz_34" sheetId="111" state="veryHidden" r:id="rId35"/>
    <sheet name="foxz_35" sheetId="124" state="veryHidden" r:id="rId36"/>
    <sheet name="foxz_36" sheetId="126" state="veryHidden" r:id="rId37"/>
    <sheet name="foxz_37" sheetId="127" state="veryHidden" r:id="rId38"/>
    <sheet name="foxz_38" sheetId="128" state="veryHidden" r:id="rId39"/>
    <sheet name="foxz_39" sheetId="129" state="veryHidden" r:id="rId40"/>
    <sheet name="foxz_40" sheetId="130" state="veryHidden" r:id="rId41"/>
    <sheet name="foxz_41" sheetId="131" state="veryHidden" r:id=""/>
    <sheet name="Ng Vũ Mạnh(5-23+86)" sheetId="74" r:id="rId42"/>
    <sheet name="Trần Cao Giới(5-43)" sheetId="27" r:id="rId43"/>
    <sheet name="Ng Thị Hòa(5-14)" sheetId="38" r:id="rId44"/>
    <sheet name="Ng Thị Hòa(5-68)" sheetId="69" r:id="rId45"/>
    <sheet name="Trần Đăng Định (4-53)" sheetId="70" r:id="rId46"/>
    <sheet name="Đỗ Thị Ngọc (5-7)" sheetId="59" r:id="rId47"/>
    <sheet name="Nguyễn Thị Vân (5-8)" sheetId="93" r:id="rId48"/>
    <sheet name="Nguyễn Văn Chiến (5-9)" sheetId="80" r:id="rId49"/>
    <sheet name="Bùi Văn Hồng" sheetId="72" r:id="rId50"/>
    <sheet name="Nguyễn Thị Nguyên (5-45)" sheetId="81" r:id="rId51"/>
    <sheet name="Trịnh Quang Lê (5-56)" sheetId="71" r:id="rId52"/>
    <sheet name="Nguyễn Đức Tú (6-62)" sheetId="67" r:id="rId53"/>
    <sheet name="Lê Văn Tâm (6-64)" sheetId="64" r:id="rId54"/>
    <sheet name="Nguyễn Vũ Mạnh (6-4)" sheetId="63" r:id="rId55"/>
    <sheet name="Nguyễn Bá Ước (6-3)" sheetId="78" r:id="rId56"/>
    <sheet name="Trần Trọng Hùng (6-55)" sheetId="62" r:id="rId57"/>
    <sheet name="Trịnh Văn Hưởng (6-63)" sheetId="84" r:id="rId58"/>
    <sheet name="Nguyễn Ngọc Dũng (5-81)" sheetId="109" r:id="rId59"/>
    <sheet name="Lưu Công Sơn (5-59)" sheetId="110" r:id="rId60"/>
    <sheet name="Vũ Viết Chinh (5-79)" sheetId="85" r:id="rId61"/>
    <sheet name="Lê Tiến Nguyễn(8-27)" sheetId="112" r:id="rId62"/>
    <sheet name="Nguyễn Thị Phương Mai (5-80)" sheetId="113" r:id="rId63"/>
    <sheet name="Trần Thi Út(5-82)" sheetId="114" r:id="rId64"/>
    <sheet name="Ng Đình Khánh" sheetId="115" r:id="rId65"/>
    <sheet name="Ng Thị Mến" sheetId="116" r:id="rId66"/>
    <sheet name="Ng Đắc Vũ(4-24)" sheetId="117" r:id="rId67"/>
    <sheet name="Ng Ngọc Dũng(06-53)" sheetId="118" r:id="rId68"/>
    <sheet name="Đỗ Huy Thành(4-8)" sheetId="119" r:id="rId69"/>
    <sheet name="Ng Văn Đẩu(7-25)" sheetId="120" r:id="rId70"/>
    <sheet name="Ng Văn Sang(7-26)" sheetId="121" r:id="rId71"/>
    <sheet name="Trần Huy Chuyển(8-34)" sheetId="122" r:id="rId72"/>
    <sheet name="Trần Huy Chuyển(8-37)" sheetId="123" r:id="rId73"/>
    <sheet name="Ng Thị Sinh(8-17)" sheetId="125" r:id="rId74"/>
    <sheet name="BẢNG TỔNG HỢP" sheetId="2" r:id="rId75"/>
    <sheet name="Danh sách ky nhận PA" sheetId="95" r:id="rId76"/>
    <sheet name="DS nhận Giấy mời" sheetId="99" r:id="rId77"/>
    <sheet name="DS nhận Giấy mời (2)" sheetId="102" r:id="rId78"/>
  </sheets>
  <externalReferences>
    <externalReference r:id="rId79"/>
  </externalReferences>
  <definedNames>
    <definedName name="_Hlk218073730" localSheetId="44">'Ng Thị Hòa(5-14)'!$K$25</definedName>
    <definedName name="_Hlk218762431" localSheetId="44">'Ng Thị Hòa(5-14)'!$K$25</definedName>
    <definedName name="_Hlk218953081" localSheetId="43">'Trần Cao Giới(5-43)'!$K$25</definedName>
    <definedName name="_Hlk219100896" localSheetId="74">'Ng Thị Sinh(8-17)'!$K$25</definedName>
    <definedName name="_Hlk219100896" localSheetId="73">'Trần Huy Chuyển(8-37)'!$K$25</definedName>
    <definedName name="_Hlk219104972" localSheetId="51">'Nguyễn Thị Nguyên (5-45)'!$J$25</definedName>
    <definedName name="_xlnm.Print_Area" localSheetId="75">'BẢNG TỔNG HỢP'!$A$1:$S$54</definedName>
    <definedName name="_xlnm.Print_Area" localSheetId="76">'Danh sách ky nhận PA'!$A$1:$S$41</definedName>
    <definedName name="_xlnm.Print_Area" localSheetId="77">'DS nhận Giấy mời'!$A$1:$S$41</definedName>
    <definedName name="_xlnm.Print_Area" localSheetId="78">'DS nhận Giấy mời (2)'!$A$1:$S$41</definedName>
    <definedName name="_xlnm.Print_Titles" localSheetId="75">'BẢNG TỔNG HỢP'!$5:$8</definedName>
    <definedName name="_xlnm.Print_Titles" localSheetId="76">'Danh sách ky nhận PA'!$4:$7</definedName>
    <definedName name="_xlnm.Print_Titles" localSheetId="77">'DS nhận Giấy mời'!$4:$7</definedName>
    <definedName name="_xlnm.Print_Titles" localSheetId="78">'DS nhận Giấy mời (2)'!$4:$7</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29" i="2" l="1"/>
  <c r="A30" i="2"/>
  <c r="A31" i="2"/>
  <c r="A32" i="2" s="1"/>
  <c r="A33" i="2" s="1"/>
  <c r="A34" i="2" s="1"/>
  <c r="A35" i="2" s="1"/>
  <c r="A36" i="2" s="1"/>
  <c r="A37" i="2" s="1"/>
  <c r="A38" i="2" s="1"/>
  <c r="A39" i="2" s="1"/>
  <c r="A40" i="2" s="1"/>
  <c r="A41" i="2" s="1"/>
  <c r="S41" i="2" l="1"/>
  <c r="R41" i="2"/>
  <c r="Q41" i="2"/>
  <c r="P41" i="2"/>
  <c r="O41" i="2"/>
  <c r="N41" i="2"/>
  <c r="I41" i="2"/>
  <c r="K41" i="2" s="1"/>
  <c r="H41" i="2"/>
  <c r="G41" i="2"/>
  <c r="F41" i="2"/>
  <c r="E41" i="2"/>
  <c r="D41" i="2"/>
  <c r="C41" i="2"/>
  <c r="B41" i="2"/>
  <c r="S40" i="2"/>
  <c r="R40" i="2"/>
  <c r="Q40" i="2"/>
  <c r="P40" i="2"/>
  <c r="O40" i="2"/>
  <c r="N40" i="2"/>
  <c r="I40" i="2"/>
  <c r="H40" i="2"/>
  <c r="J40" i="2" s="1"/>
  <c r="G40" i="2"/>
  <c r="F40" i="2"/>
  <c r="E40" i="2"/>
  <c r="D40" i="2"/>
  <c r="C40" i="2"/>
  <c r="B40" i="2"/>
  <c r="S39" i="2"/>
  <c r="R39" i="2"/>
  <c r="Q39" i="2"/>
  <c r="P39" i="2"/>
  <c r="O39" i="2"/>
  <c r="N39" i="2"/>
  <c r="I39" i="2"/>
  <c r="K39" i="2" s="1"/>
  <c r="H39" i="2"/>
  <c r="G39" i="2"/>
  <c r="F39" i="2"/>
  <c r="E39" i="2"/>
  <c r="D39" i="2"/>
  <c r="C39" i="2"/>
  <c r="B39" i="2"/>
  <c r="S38" i="2"/>
  <c r="R38" i="2"/>
  <c r="Q38" i="2"/>
  <c r="P38" i="2"/>
  <c r="O38" i="2"/>
  <c r="N38" i="2"/>
  <c r="K38" i="2"/>
  <c r="I38" i="2"/>
  <c r="M38" i="2" s="1"/>
  <c r="H38" i="2"/>
  <c r="J38" i="2" s="1"/>
  <c r="G38" i="2"/>
  <c r="F38" i="2"/>
  <c r="E38" i="2"/>
  <c r="D38" i="2"/>
  <c r="C38" i="2"/>
  <c r="B38" i="2"/>
  <c r="S37" i="2"/>
  <c r="R37" i="2"/>
  <c r="Q37" i="2"/>
  <c r="P37" i="2"/>
  <c r="O37" i="2"/>
  <c r="N37" i="2"/>
  <c r="I37" i="2"/>
  <c r="M37" i="2" s="1"/>
  <c r="H37" i="2"/>
  <c r="G37" i="2"/>
  <c r="F37" i="2"/>
  <c r="E37" i="2"/>
  <c r="D37" i="2"/>
  <c r="C37" i="2"/>
  <c r="B37" i="2"/>
  <c r="S36" i="2"/>
  <c r="R36" i="2"/>
  <c r="Q36" i="2"/>
  <c r="P36" i="2"/>
  <c r="O36" i="2"/>
  <c r="N36" i="2"/>
  <c r="I36" i="2"/>
  <c r="K36" i="2" s="1"/>
  <c r="H36" i="2"/>
  <c r="G36" i="2"/>
  <c r="F36" i="2"/>
  <c r="E36" i="2"/>
  <c r="D36" i="2"/>
  <c r="C36" i="2"/>
  <c r="B36" i="2"/>
  <c r="S35" i="2"/>
  <c r="R35" i="2"/>
  <c r="Q35" i="2"/>
  <c r="P35" i="2"/>
  <c r="O35" i="2"/>
  <c r="N35" i="2"/>
  <c r="I35" i="2"/>
  <c r="K35" i="2" s="1"/>
  <c r="H35" i="2"/>
  <c r="G35" i="2"/>
  <c r="F35" i="2"/>
  <c r="E35" i="2"/>
  <c r="D35" i="2"/>
  <c r="C35" i="2"/>
  <c r="B35" i="2"/>
  <c r="S34" i="2"/>
  <c r="R34" i="2"/>
  <c r="Q34" i="2"/>
  <c r="P34" i="2"/>
  <c r="O34" i="2"/>
  <c r="N34" i="2"/>
  <c r="I34" i="2"/>
  <c r="K34" i="2" s="1"/>
  <c r="H34" i="2"/>
  <c r="G34" i="2"/>
  <c r="F34" i="2"/>
  <c r="E34" i="2"/>
  <c r="D34" i="2"/>
  <c r="C34" i="2"/>
  <c r="B34" i="2"/>
  <c r="S33" i="2"/>
  <c r="R33" i="2"/>
  <c r="O33" i="2"/>
  <c r="N33" i="2"/>
  <c r="K40" i="2"/>
  <c r="M36" i="2"/>
  <c r="M40" i="2"/>
  <c r="I33" i="2"/>
  <c r="M33" i="2" s="1"/>
  <c r="H33" i="2"/>
  <c r="G33" i="2"/>
  <c r="F33" i="2"/>
  <c r="E33" i="2"/>
  <c r="D33" i="2"/>
  <c r="C33" i="2"/>
  <c r="B33" i="2"/>
  <c r="S32" i="2"/>
  <c r="R32" i="2"/>
  <c r="Q32" i="2"/>
  <c r="P32" i="2"/>
  <c r="O32" i="2"/>
  <c r="N32" i="2"/>
  <c r="I32" i="2"/>
  <c r="M32" i="2" s="1"/>
  <c r="H32" i="2"/>
  <c r="G32" i="2"/>
  <c r="F32" i="2"/>
  <c r="E32" i="2"/>
  <c r="D32" i="2"/>
  <c r="C32" i="2"/>
  <c r="B32" i="2"/>
  <c r="S31" i="2"/>
  <c r="R31" i="2"/>
  <c r="Q31" i="2"/>
  <c r="P31" i="2"/>
  <c r="O31" i="2"/>
  <c r="N31" i="2"/>
  <c r="I31" i="2"/>
  <c r="K31" i="2" s="1"/>
  <c r="H31" i="2"/>
  <c r="G31" i="2"/>
  <c r="F31" i="2"/>
  <c r="E31" i="2"/>
  <c r="D31" i="2"/>
  <c r="C31" i="2"/>
  <c r="B31" i="2"/>
  <c r="S27" i="2"/>
  <c r="R30" i="2"/>
  <c r="Q30" i="2"/>
  <c r="P30" i="2"/>
  <c r="O30" i="2"/>
  <c r="N30" i="2"/>
  <c r="I30" i="2"/>
  <c r="K30" i="2" s="1"/>
  <c r="H30" i="2"/>
  <c r="G30" i="2"/>
  <c r="F30" i="2"/>
  <c r="E30" i="2"/>
  <c r="D30" i="2"/>
  <c r="C30" i="2"/>
  <c r="B30" i="2"/>
  <c r="S29" i="2"/>
  <c r="R29" i="2"/>
  <c r="Q29" i="2"/>
  <c r="P29" i="2"/>
  <c r="O29" i="2"/>
  <c r="N29" i="2"/>
  <c r="I29" i="2"/>
  <c r="M29" i="2" s="1"/>
  <c r="H29" i="2"/>
  <c r="G29" i="2"/>
  <c r="F29" i="2"/>
  <c r="E29" i="2"/>
  <c r="D29" i="2"/>
  <c r="B29" i="2"/>
  <c r="H64" i="125"/>
  <c r="H60" i="125"/>
  <c r="H58" i="125"/>
  <c r="E57" i="125"/>
  <c r="E56" i="125"/>
  <c r="E51" i="125"/>
  <c r="E50" i="125"/>
  <c r="E52" i="125" s="1"/>
  <c r="E53" i="125" s="1"/>
  <c r="H49" i="125"/>
  <c r="E33" i="125"/>
  <c r="H33" i="125" s="1"/>
  <c r="H34" i="125" s="1"/>
  <c r="C23" i="125"/>
  <c r="C16" i="125"/>
  <c r="C15" i="125"/>
  <c r="C14" i="125"/>
  <c r="F13" i="125"/>
  <c r="J33" i="2" l="1"/>
  <c r="M41" i="2"/>
  <c r="J41" i="2"/>
  <c r="J39" i="2"/>
  <c r="M39" i="2"/>
  <c r="K33" i="2"/>
  <c r="K37" i="2"/>
  <c r="J37" i="2"/>
  <c r="J36" i="2"/>
  <c r="J35" i="2"/>
  <c r="M35" i="2"/>
  <c r="M34" i="2"/>
  <c r="J34" i="2"/>
  <c r="K32" i="2"/>
  <c r="J32" i="2"/>
  <c r="M31" i="2"/>
  <c r="J31" i="2"/>
  <c r="M30" i="2"/>
  <c r="J30" i="2"/>
  <c r="K29" i="2"/>
  <c r="J29" i="2"/>
  <c r="H65" i="125"/>
  <c r="E55" i="125"/>
  <c r="H49" i="123"/>
  <c r="H60" i="123"/>
  <c r="E57" i="123"/>
  <c r="E56" i="123"/>
  <c r="E55" i="123"/>
  <c r="E53" i="123"/>
  <c r="H49" i="112"/>
  <c r="E52" i="112"/>
  <c r="E50" i="112"/>
  <c r="E54" i="112"/>
  <c r="E53" i="112"/>
  <c r="E55" i="112" s="1"/>
  <c r="E51" i="123" l="1"/>
  <c r="E50" i="123"/>
  <c r="E51" i="122"/>
  <c r="E50" i="122"/>
  <c r="H64" i="123"/>
  <c r="H58" i="123"/>
  <c r="E33" i="123"/>
  <c r="H33" i="123" s="1"/>
  <c r="H34" i="123" s="1"/>
  <c r="C23" i="123"/>
  <c r="C16" i="123"/>
  <c r="C15" i="123"/>
  <c r="C14" i="123"/>
  <c r="F13" i="123"/>
  <c r="H61" i="122"/>
  <c r="H55" i="122"/>
  <c r="H57" i="122" s="1"/>
  <c r="E53" i="122"/>
  <c r="E52" i="122"/>
  <c r="H49" i="122"/>
  <c r="E33" i="122"/>
  <c r="H33" i="122" s="1"/>
  <c r="H34" i="122" s="1"/>
  <c r="C23" i="122"/>
  <c r="C16" i="122"/>
  <c r="C15" i="122"/>
  <c r="C14" i="122"/>
  <c r="F13" i="122"/>
  <c r="E52" i="123" l="1"/>
  <c r="H65" i="123"/>
  <c r="E54" i="122"/>
  <c r="H62" i="122"/>
  <c r="E52" i="121" l="1"/>
  <c r="E50" i="121"/>
  <c r="E51" i="121" s="1"/>
  <c r="H60" i="121"/>
  <c r="H54" i="121"/>
  <c r="H49" i="121"/>
  <c r="E33" i="121"/>
  <c r="H33" i="121" s="1"/>
  <c r="H34" i="121" s="1"/>
  <c r="C23" i="121"/>
  <c r="C16" i="121"/>
  <c r="C15" i="121"/>
  <c r="C14" i="121"/>
  <c r="F13" i="121"/>
  <c r="E59" i="120"/>
  <c r="E55" i="120"/>
  <c r="E57" i="120"/>
  <c r="E56" i="120"/>
  <c r="E52" i="120"/>
  <c r="E54" i="120" s="1"/>
  <c r="E51" i="120"/>
  <c r="E50" i="120"/>
  <c r="H67" i="120"/>
  <c r="H61" i="120"/>
  <c r="H49" i="120"/>
  <c r="H63" i="120" s="1"/>
  <c r="E33" i="120"/>
  <c r="H33" i="120" s="1"/>
  <c r="H34" i="120" s="1"/>
  <c r="C23" i="120"/>
  <c r="C16" i="120"/>
  <c r="C15" i="120"/>
  <c r="C14" i="120"/>
  <c r="F13" i="120"/>
  <c r="E56" i="119"/>
  <c r="E54" i="119"/>
  <c r="E53" i="119"/>
  <c r="E51" i="119"/>
  <c r="E52" i="119"/>
  <c r="E50" i="119"/>
  <c r="H64" i="119"/>
  <c r="H58" i="119"/>
  <c r="H49" i="119"/>
  <c r="E33" i="119"/>
  <c r="H33" i="119" s="1"/>
  <c r="H34" i="119" s="1"/>
  <c r="C23" i="119"/>
  <c r="C16" i="119"/>
  <c r="C15" i="119"/>
  <c r="C14" i="119"/>
  <c r="F13" i="119"/>
  <c r="H56" i="121" l="1"/>
  <c r="H61" i="121" s="1"/>
  <c r="E58" i="120"/>
  <c r="H68" i="120"/>
  <c r="H60" i="119"/>
  <c r="H65" i="119" s="1"/>
  <c r="E55" i="118"/>
  <c r="H49" i="118"/>
  <c r="H59" i="118" s="1"/>
  <c r="E52" i="118"/>
  <c r="E51" i="118"/>
  <c r="E50" i="118"/>
  <c r="H63" i="118"/>
  <c r="H57" i="118"/>
  <c r="E53" i="118"/>
  <c r="H33" i="118"/>
  <c r="H34" i="118" s="1"/>
  <c r="E33" i="118"/>
  <c r="C23" i="118"/>
  <c r="C16" i="118"/>
  <c r="C15" i="118"/>
  <c r="C14" i="118"/>
  <c r="F13" i="118"/>
  <c r="E51" i="117"/>
  <c r="E50" i="117"/>
  <c r="E52" i="117" s="1"/>
  <c r="H59" i="117"/>
  <c r="H53" i="117"/>
  <c r="H49" i="117"/>
  <c r="H55" i="117" s="1"/>
  <c r="E33" i="117"/>
  <c r="H33" i="117" s="1"/>
  <c r="H34" i="117" s="1"/>
  <c r="C23" i="117"/>
  <c r="C16" i="117"/>
  <c r="C15" i="117"/>
  <c r="C14" i="117"/>
  <c r="F13" i="117"/>
  <c r="E54" i="116"/>
  <c r="E53" i="116"/>
  <c r="E52" i="116"/>
  <c r="E51" i="116"/>
  <c r="H62" i="116"/>
  <c r="H56" i="116"/>
  <c r="H49" i="116"/>
  <c r="Q33" i="2" s="1"/>
  <c r="E33" i="116"/>
  <c r="H33" i="116" s="1"/>
  <c r="H34" i="116" s="1"/>
  <c r="P33" i="2" s="1"/>
  <c r="C23" i="116"/>
  <c r="C16" i="116"/>
  <c r="C15" i="116"/>
  <c r="C14" i="116"/>
  <c r="F13" i="116"/>
  <c r="E55" i="116" l="1"/>
  <c r="E54" i="118"/>
  <c r="H64" i="118"/>
  <c r="H60" i="117"/>
  <c r="H58" i="116"/>
  <c r="H63" i="116"/>
  <c r="H59" i="115"/>
  <c r="E54" i="115"/>
  <c r="E57" i="115" s="1"/>
  <c r="E53" i="115"/>
  <c r="E55" i="115" s="1"/>
  <c r="E52" i="115"/>
  <c r="E51" i="115"/>
  <c r="E64" i="114"/>
  <c r="E63" i="114"/>
  <c r="E62" i="114"/>
  <c r="E61" i="114"/>
  <c r="E56" i="114"/>
  <c r="E55" i="114"/>
  <c r="E58" i="114" s="1"/>
  <c r="E60" i="114" s="1"/>
  <c r="E52" i="114"/>
  <c r="E51" i="114"/>
  <c r="E50" i="114"/>
  <c r="E53" i="113"/>
  <c r="E54" i="85"/>
  <c r="E53" i="85"/>
  <c r="E56" i="110"/>
  <c r="E58" i="110" s="1"/>
  <c r="E53" i="110"/>
  <c r="E55" i="110" s="1"/>
  <c r="E52" i="110"/>
  <c r="E51" i="110"/>
  <c r="E50" i="110"/>
  <c r="E55" i="109"/>
  <c r="E54" i="109"/>
  <c r="E53" i="109"/>
  <c r="E51" i="84"/>
  <c r="E53" i="84"/>
  <c r="E55" i="62"/>
  <c r="E54" i="78"/>
  <c r="E58" i="63"/>
  <c r="E56" i="63"/>
  <c r="E54" i="63"/>
  <c r="E52" i="64"/>
  <c r="C15" i="64"/>
  <c r="H50" i="71"/>
  <c r="E59" i="71"/>
  <c r="E56" i="71"/>
  <c r="E55" i="71"/>
  <c r="H49" i="81"/>
  <c r="E54" i="81"/>
  <c r="E52" i="72"/>
  <c r="E50" i="72"/>
  <c r="E51" i="93"/>
  <c r="E57" i="59"/>
  <c r="E56" i="59"/>
  <c r="E55" i="70"/>
  <c r="E53" i="70"/>
  <c r="E56" i="115" l="1"/>
  <c r="E58" i="115" s="1"/>
  <c r="E57" i="114"/>
  <c r="E58" i="113"/>
  <c r="E57" i="113"/>
  <c r="E56" i="113"/>
  <c r="E54" i="113"/>
  <c r="E50" i="113"/>
  <c r="E52" i="113" s="1"/>
  <c r="H65" i="115"/>
  <c r="H49" i="115"/>
  <c r="E33" i="115"/>
  <c r="H33" i="115" s="1"/>
  <c r="H34" i="115" s="1"/>
  <c r="C23" i="115"/>
  <c r="C16" i="115"/>
  <c r="C15" i="115"/>
  <c r="C14" i="115"/>
  <c r="F13" i="115"/>
  <c r="H71" i="114"/>
  <c r="H65" i="114"/>
  <c r="H49" i="114"/>
  <c r="E33" i="114"/>
  <c r="H33" i="114" s="1"/>
  <c r="H34" i="114" s="1"/>
  <c r="C23" i="114"/>
  <c r="C16" i="114"/>
  <c r="C15" i="114"/>
  <c r="C14" i="114"/>
  <c r="F13" i="114"/>
  <c r="H66" i="113"/>
  <c r="H60" i="113"/>
  <c r="H49" i="113"/>
  <c r="E33" i="113"/>
  <c r="H33" i="113" s="1"/>
  <c r="H34" i="113" s="1"/>
  <c r="C23" i="113"/>
  <c r="C16" i="113"/>
  <c r="C15" i="113"/>
  <c r="C14" i="113"/>
  <c r="F13" i="113"/>
  <c r="H62" i="112"/>
  <c r="H56" i="112"/>
  <c r="E33" i="112"/>
  <c r="H33" i="112" s="1"/>
  <c r="H34" i="112" s="1"/>
  <c r="C23" i="112"/>
  <c r="C16" i="112"/>
  <c r="C15" i="112"/>
  <c r="C14" i="112"/>
  <c r="F13" i="112"/>
  <c r="E55" i="85"/>
  <c r="E52" i="85"/>
  <c r="E51" i="85"/>
  <c r="E50" i="85"/>
  <c r="E52" i="109"/>
  <c r="E51" i="109"/>
  <c r="E50" i="109"/>
  <c r="E52" i="84"/>
  <c r="E50" i="84"/>
  <c r="E54" i="62"/>
  <c r="E53" i="62"/>
  <c r="E52" i="62"/>
  <c r="E51" i="62"/>
  <c r="E50" i="62"/>
  <c r="E52" i="78"/>
  <c r="E51" i="78"/>
  <c r="E50" i="78"/>
  <c r="E57" i="63"/>
  <c r="E55" i="63"/>
  <c r="E52" i="63"/>
  <c r="E51" i="63"/>
  <c r="E50" i="63"/>
  <c r="E54" i="64"/>
  <c r="E53" i="64"/>
  <c r="E51" i="64"/>
  <c r="E54" i="67"/>
  <c r="E53" i="67"/>
  <c r="E51" i="67"/>
  <c r="E50" i="67"/>
  <c r="E60" i="71"/>
  <c r="E58" i="71"/>
  <c r="E54" i="71"/>
  <c r="E53" i="71"/>
  <c r="E52" i="71"/>
  <c r="E52" i="81"/>
  <c r="E51" i="81"/>
  <c r="E50" i="81"/>
  <c r="E55" i="80"/>
  <c r="E54" i="80"/>
  <c r="E52" i="80"/>
  <c r="E51" i="80"/>
  <c r="E50" i="80"/>
  <c r="E52" i="93"/>
  <c r="E50" i="93"/>
  <c r="C23" i="93"/>
  <c r="E58" i="59"/>
  <c r="E55" i="59"/>
  <c r="E52" i="59"/>
  <c r="E53" i="59" s="1"/>
  <c r="E50" i="59"/>
  <c r="E54" i="70"/>
  <c r="E51" i="70"/>
  <c r="E50" i="70"/>
  <c r="H49" i="69"/>
  <c r="E54" i="69"/>
  <c r="E52" i="69"/>
  <c r="E53" i="69" s="1"/>
  <c r="E51" i="69"/>
  <c r="H49" i="38"/>
  <c r="H59" i="38"/>
  <c r="E58" i="38"/>
  <c r="E56" i="38"/>
  <c r="E52" i="38"/>
  <c r="E55" i="38" s="1"/>
  <c r="E51" i="38"/>
  <c r="E50" i="38"/>
  <c r="F13" i="38"/>
  <c r="H67" i="114" l="1"/>
  <c r="H61" i="115"/>
  <c r="H66" i="115" s="1"/>
  <c r="H62" i="113"/>
  <c r="H67" i="113" s="1"/>
  <c r="H72" i="114"/>
  <c r="H58" i="112"/>
  <c r="H63" i="112" s="1"/>
  <c r="E54" i="38"/>
  <c r="E57" i="38" s="1"/>
  <c r="E61" i="27"/>
  <c r="E57" i="27"/>
  <c r="E55" i="27"/>
  <c r="E59" i="27" s="1"/>
  <c r="E54" i="27"/>
  <c r="E52" i="27"/>
  <c r="E51" i="27"/>
  <c r="H49" i="74"/>
  <c r="E60" i="74"/>
  <c r="E59" i="74"/>
  <c r="E57" i="74"/>
  <c r="E53" i="74"/>
  <c r="E56" i="74" s="1"/>
  <c r="E52" i="74"/>
  <c r="E51" i="74"/>
  <c r="E50" i="74"/>
  <c r="E60" i="27" l="1"/>
  <c r="E63" i="27" s="1"/>
  <c r="E62" i="27"/>
  <c r="E56" i="27"/>
  <c r="O28" i="2"/>
  <c r="N28" i="2"/>
  <c r="I28" i="2"/>
  <c r="H28" i="2"/>
  <c r="G28" i="2"/>
  <c r="F28" i="2"/>
  <c r="E28" i="2"/>
  <c r="D28" i="2"/>
  <c r="C28" i="2"/>
  <c r="B28" i="2"/>
  <c r="O27" i="2"/>
  <c r="N27" i="2"/>
  <c r="I27" i="2"/>
  <c r="H27" i="2"/>
  <c r="G27" i="2"/>
  <c r="F27" i="2"/>
  <c r="E27" i="2"/>
  <c r="D27" i="2"/>
  <c r="C27" i="2"/>
  <c r="B27" i="2"/>
  <c r="C15" i="110"/>
  <c r="H65" i="110"/>
  <c r="R28" i="2" s="1"/>
  <c r="H59" i="110"/>
  <c r="H49" i="110"/>
  <c r="Q28" i="2" s="1"/>
  <c r="E33" i="110"/>
  <c r="H33" i="110" s="1"/>
  <c r="H34" i="110" s="1"/>
  <c r="P28" i="2" s="1"/>
  <c r="C23" i="110"/>
  <c r="C16" i="110"/>
  <c r="C14" i="110"/>
  <c r="F13" i="110"/>
  <c r="C14" i="109"/>
  <c r="C15" i="109" s="1"/>
  <c r="H62" i="109"/>
  <c r="H56" i="109"/>
  <c r="R27" i="2" s="1"/>
  <c r="H49" i="109"/>
  <c r="E33" i="109"/>
  <c r="H33" i="109" s="1"/>
  <c r="H34" i="109" s="1"/>
  <c r="P27" i="2" s="1"/>
  <c r="C23" i="109"/>
  <c r="C16" i="109"/>
  <c r="F13" i="109"/>
  <c r="H58" i="109" l="1"/>
  <c r="Q27" i="2"/>
  <c r="H61" i="110"/>
  <c r="H66" i="110" s="1"/>
  <c r="H63" i="109"/>
  <c r="H49" i="63"/>
  <c r="H59" i="63"/>
  <c r="H49" i="64"/>
  <c r="H62" i="71"/>
  <c r="H49" i="67" l="1"/>
  <c r="H49" i="72"/>
  <c r="C23" i="72"/>
  <c r="E53" i="72" s="1"/>
  <c r="E54" i="72" s="1"/>
  <c r="H49" i="85" l="1"/>
  <c r="H49" i="80"/>
  <c r="H56" i="80"/>
  <c r="H49" i="93"/>
  <c r="H61" i="59"/>
  <c r="H49" i="59"/>
  <c r="C15" i="59" l="1"/>
  <c r="C15" i="69" l="1"/>
  <c r="E55" i="74"/>
  <c r="E58" i="74" s="1"/>
  <c r="X29" i="102" l="1"/>
  <c r="W29" i="102"/>
  <c r="L29" i="102"/>
  <c r="AB28" i="102"/>
  <c r="Z28" i="102"/>
  <c r="S28" i="102"/>
  <c r="J28" i="102"/>
  <c r="I28" i="102"/>
  <c r="H28" i="102"/>
  <c r="G28" i="102"/>
  <c r="F28" i="102"/>
  <c r="E28" i="102"/>
  <c r="D28" i="102"/>
  <c r="C28" i="102"/>
  <c r="B28" i="102"/>
  <c r="A28" i="102"/>
  <c r="R27" i="102"/>
  <c r="Q27" i="102"/>
  <c r="P27" i="102"/>
  <c r="O27" i="102"/>
  <c r="N27" i="102"/>
  <c r="I27" i="102"/>
  <c r="K27" i="102" s="1"/>
  <c r="H27" i="102"/>
  <c r="G27" i="102"/>
  <c r="F27" i="102"/>
  <c r="D27" i="102"/>
  <c r="C27" i="102"/>
  <c r="B27" i="102"/>
  <c r="R26" i="102"/>
  <c r="Q26" i="102"/>
  <c r="P26" i="102"/>
  <c r="S26" i="102" s="1"/>
  <c r="O26" i="102"/>
  <c r="N26" i="102"/>
  <c r="I26" i="102"/>
  <c r="M26" i="102" s="1"/>
  <c r="H26" i="102"/>
  <c r="G26" i="102"/>
  <c r="F26" i="102"/>
  <c r="D26" i="102"/>
  <c r="C26" i="102"/>
  <c r="B26" i="102"/>
  <c r="O25" i="102"/>
  <c r="N25" i="102"/>
  <c r="I25" i="102"/>
  <c r="M25" i="102" s="1"/>
  <c r="H25" i="102"/>
  <c r="G25" i="102"/>
  <c r="F25" i="102"/>
  <c r="D25" i="102"/>
  <c r="C25" i="102"/>
  <c r="B25" i="102"/>
  <c r="O24" i="102"/>
  <c r="N24" i="102"/>
  <c r="I24" i="102"/>
  <c r="M24" i="102" s="1"/>
  <c r="H24" i="102"/>
  <c r="G24" i="102"/>
  <c r="F24" i="102"/>
  <c r="D24" i="102"/>
  <c r="C24" i="102"/>
  <c r="B24" i="102"/>
  <c r="O23" i="102"/>
  <c r="N23" i="102"/>
  <c r="I23" i="102"/>
  <c r="K23" i="102" s="1"/>
  <c r="H23" i="102"/>
  <c r="G23" i="102"/>
  <c r="F23" i="102"/>
  <c r="D23" i="102"/>
  <c r="C23" i="102"/>
  <c r="B23" i="102"/>
  <c r="O22" i="102"/>
  <c r="N22" i="102"/>
  <c r="I22" i="102"/>
  <c r="M22" i="102" s="1"/>
  <c r="H22" i="102"/>
  <c r="G22" i="102"/>
  <c r="F22" i="102"/>
  <c r="D22" i="102"/>
  <c r="C22" i="102"/>
  <c r="B22" i="102"/>
  <c r="Q21" i="102"/>
  <c r="O21" i="102"/>
  <c r="N21" i="102"/>
  <c r="I21" i="102"/>
  <c r="M21" i="102" s="1"/>
  <c r="H21" i="102"/>
  <c r="G21" i="102"/>
  <c r="F21" i="102"/>
  <c r="D21" i="102"/>
  <c r="C21" i="102"/>
  <c r="B21" i="102"/>
  <c r="Q20" i="102"/>
  <c r="O20" i="102"/>
  <c r="N20" i="102"/>
  <c r="I20" i="102"/>
  <c r="M20" i="102" s="1"/>
  <c r="H20" i="102"/>
  <c r="G20" i="102"/>
  <c r="F20" i="102"/>
  <c r="D20" i="102"/>
  <c r="C20" i="102"/>
  <c r="B20" i="102"/>
  <c r="R19" i="102"/>
  <c r="O19" i="102"/>
  <c r="N19" i="102"/>
  <c r="I19" i="102"/>
  <c r="K19" i="102" s="1"/>
  <c r="H19" i="102"/>
  <c r="G19" i="102"/>
  <c r="F19" i="102"/>
  <c r="D19" i="102"/>
  <c r="C19" i="102"/>
  <c r="B19" i="102"/>
  <c r="O18" i="102"/>
  <c r="N18" i="102"/>
  <c r="I18" i="102"/>
  <c r="M18" i="102" s="1"/>
  <c r="H18" i="102"/>
  <c r="G18" i="102"/>
  <c r="F18" i="102"/>
  <c r="D18" i="102"/>
  <c r="C18" i="102"/>
  <c r="B18" i="102"/>
  <c r="O17" i="102"/>
  <c r="N17" i="102"/>
  <c r="I17" i="102"/>
  <c r="M17" i="102" s="1"/>
  <c r="H17" i="102"/>
  <c r="G17" i="102"/>
  <c r="F17" i="102"/>
  <c r="D17" i="102"/>
  <c r="C17" i="102"/>
  <c r="B17" i="102"/>
  <c r="Q16" i="102"/>
  <c r="O16" i="102"/>
  <c r="N16" i="102"/>
  <c r="I16" i="102"/>
  <c r="M16" i="102" s="1"/>
  <c r="H16" i="102"/>
  <c r="G16" i="102"/>
  <c r="F16" i="102"/>
  <c r="D16" i="102"/>
  <c r="C16" i="102"/>
  <c r="B16" i="102"/>
  <c r="AB15" i="102"/>
  <c r="Z15" i="102"/>
  <c r="R15" i="102"/>
  <c r="Q15" i="102"/>
  <c r="P15" i="102"/>
  <c r="S15" i="102" s="1"/>
  <c r="O15" i="102"/>
  <c r="N15" i="102"/>
  <c r="I15" i="102"/>
  <c r="M15" i="102" s="1"/>
  <c r="H15" i="102"/>
  <c r="G15" i="102"/>
  <c r="F15" i="102"/>
  <c r="D15" i="102"/>
  <c r="C15" i="102"/>
  <c r="B15" i="102"/>
  <c r="AB14" i="102"/>
  <c r="Z14" i="102"/>
  <c r="O14" i="102"/>
  <c r="N14" i="102"/>
  <c r="I14" i="102"/>
  <c r="M14" i="102" s="1"/>
  <c r="H14" i="102"/>
  <c r="G14" i="102"/>
  <c r="F14" i="102"/>
  <c r="D14" i="102"/>
  <c r="C14" i="102"/>
  <c r="B14" i="102"/>
  <c r="AB13" i="102"/>
  <c r="Z13" i="102"/>
  <c r="O13" i="102"/>
  <c r="N13" i="102"/>
  <c r="I13" i="102"/>
  <c r="K13" i="102" s="1"/>
  <c r="H13" i="102"/>
  <c r="G13" i="102"/>
  <c r="F13" i="102"/>
  <c r="D13" i="102"/>
  <c r="C13" i="102"/>
  <c r="B13" i="102"/>
  <c r="AB12" i="102"/>
  <c r="Z12" i="102"/>
  <c r="O12" i="102"/>
  <c r="N12" i="102"/>
  <c r="I12" i="102"/>
  <c r="K12" i="102" s="1"/>
  <c r="H12" i="102"/>
  <c r="G12" i="102"/>
  <c r="F12" i="102"/>
  <c r="D12" i="102"/>
  <c r="C12" i="102"/>
  <c r="B12" i="102"/>
  <c r="AB11" i="102"/>
  <c r="Z11" i="102"/>
  <c r="O11" i="102"/>
  <c r="N11" i="102"/>
  <c r="I11" i="102"/>
  <c r="M11" i="102" s="1"/>
  <c r="H11" i="102"/>
  <c r="G11" i="102"/>
  <c r="F11" i="102"/>
  <c r="D11" i="102"/>
  <c r="C11" i="102"/>
  <c r="B11" i="102"/>
  <c r="AB10" i="102"/>
  <c r="Z10" i="102"/>
  <c r="O10" i="102"/>
  <c r="N10" i="102"/>
  <c r="I10" i="102"/>
  <c r="M10" i="102" s="1"/>
  <c r="H10" i="102"/>
  <c r="G10" i="102"/>
  <c r="F10" i="102"/>
  <c r="D10" i="102"/>
  <c r="C10" i="102"/>
  <c r="B10" i="102"/>
  <c r="AB9" i="102"/>
  <c r="Z9" i="102"/>
  <c r="R9" i="102"/>
  <c r="O9" i="102"/>
  <c r="N9" i="102"/>
  <c r="I9" i="102"/>
  <c r="M9" i="102" s="1"/>
  <c r="H9" i="102"/>
  <c r="G9" i="102"/>
  <c r="F9" i="102"/>
  <c r="D9" i="102"/>
  <c r="C9" i="102"/>
  <c r="B9" i="102"/>
  <c r="A9" i="102"/>
  <c r="A10" i="102" s="1"/>
  <c r="A11" i="102" s="1"/>
  <c r="A12" i="102" s="1"/>
  <c r="A13" i="102" s="1"/>
  <c r="A14" i="102" s="1"/>
  <c r="A15" i="102" s="1"/>
  <c r="A16" i="102" s="1"/>
  <c r="A17" i="102" s="1"/>
  <c r="A18" i="102" s="1"/>
  <c r="A19" i="102" s="1"/>
  <c r="A20" i="102" s="1"/>
  <c r="A21" i="102" s="1"/>
  <c r="A22" i="102" s="1"/>
  <c r="A23" i="102" s="1"/>
  <c r="A24" i="102" s="1"/>
  <c r="A25" i="102" s="1"/>
  <c r="A26" i="102" s="1"/>
  <c r="A27" i="102" s="1"/>
  <c r="AB8" i="102"/>
  <c r="Z8" i="102"/>
  <c r="O8" i="102"/>
  <c r="N8" i="102"/>
  <c r="I8" i="102"/>
  <c r="K8" i="102" s="1"/>
  <c r="H8" i="102"/>
  <c r="G8" i="102"/>
  <c r="F8" i="102"/>
  <c r="D8" i="102"/>
  <c r="C8" i="102"/>
  <c r="B8" i="102"/>
  <c r="B7" i="102"/>
  <c r="C7" i="102" s="1"/>
  <c r="D7" i="102" s="1"/>
  <c r="E7" i="102" s="1"/>
  <c r="F7" i="102" s="1"/>
  <c r="G7" i="102" s="1"/>
  <c r="H7" i="102" s="1"/>
  <c r="I7" i="102" s="1"/>
  <c r="J7" i="102" s="1"/>
  <c r="K7" i="102" s="1"/>
  <c r="L7" i="102" s="1"/>
  <c r="M7" i="102" s="1"/>
  <c r="N7" i="102" s="1"/>
  <c r="O7" i="102" s="1"/>
  <c r="P7" i="102" s="1"/>
  <c r="Q7" i="102" s="1"/>
  <c r="R7" i="102" s="1"/>
  <c r="S7" i="102" s="1"/>
  <c r="J27" i="102" l="1"/>
  <c r="M27" i="102"/>
  <c r="S27" i="102"/>
  <c r="J25" i="102"/>
  <c r="K25" i="102"/>
  <c r="K24" i="102"/>
  <c r="J24" i="102"/>
  <c r="M23" i="102"/>
  <c r="J23" i="102"/>
  <c r="J22" i="102"/>
  <c r="J21" i="102"/>
  <c r="J19" i="102"/>
  <c r="M19" i="102"/>
  <c r="J20" i="102"/>
  <c r="K20" i="102"/>
  <c r="J18" i="102"/>
  <c r="J17" i="102"/>
  <c r="K16" i="102"/>
  <c r="J16" i="102"/>
  <c r="K15" i="102"/>
  <c r="J13" i="102"/>
  <c r="M13" i="102"/>
  <c r="M12" i="102"/>
  <c r="J12" i="102"/>
  <c r="J11" i="102"/>
  <c r="K11" i="102"/>
  <c r="H29" i="102"/>
  <c r="M8" i="102"/>
  <c r="K17" i="102"/>
  <c r="K21" i="102"/>
  <c r="J26" i="102"/>
  <c r="I29" i="102"/>
  <c r="J8" i="102"/>
  <c r="K9" i="102"/>
  <c r="K10" i="102"/>
  <c r="K14" i="102"/>
  <c r="K18" i="102"/>
  <c r="K22" i="102"/>
  <c r="K26" i="102"/>
  <c r="J9" i="102"/>
  <c r="J10" i="102"/>
  <c r="J14" i="102"/>
  <c r="X29" i="99"/>
  <c r="W29" i="99"/>
  <c r="L29" i="99"/>
  <c r="AB28" i="99"/>
  <c r="Z28" i="99"/>
  <c r="S28" i="99"/>
  <c r="I28" i="99"/>
  <c r="J28" i="99" s="1"/>
  <c r="H28" i="99"/>
  <c r="G28" i="99"/>
  <c r="F28" i="99"/>
  <c r="E28" i="99"/>
  <c r="D28" i="99"/>
  <c r="C28" i="99"/>
  <c r="B28" i="99"/>
  <c r="A28" i="99"/>
  <c r="R27" i="99"/>
  <c r="Q27" i="99"/>
  <c r="P27" i="99"/>
  <c r="S27" i="99" s="1"/>
  <c r="O27" i="99"/>
  <c r="N27" i="99"/>
  <c r="I27" i="99"/>
  <c r="M27" i="99" s="1"/>
  <c r="H27" i="99"/>
  <c r="G27" i="99"/>
  <c r="F27" i="99"/>
  <c r="D27" i="99"/>
  <c r="C27" i="99"/>
  <c r="B27" i="99"/>
  <c r="S26" i="99"/>
  <c r="R26" i="99"/>
  <c r="Q26" i="99"/>
  <c r="P26" i="99"/>
  <c r="O26" i="99"/>
  <c r="N26" i="99"/>
  <c r="I26" i="99"/>
  <c r="M26" i="99" s="1"/>
  <c r="H26" i="99"/>
  <c r="G26" i="99"/>
  <c r="F26" i="99"/>
  <c r="D26" i="99"/>
  <c r="C26" i="99"/>
  <c r="B26" i="99"/>
  <c r="O25" i="99"/>
  <c r="N25" i="99"/>
  <c r="I25" i="99"/>
  <c r="K25" i="99" s="1"/>
  <c r="H25" i="99"/>
  <c r="G25" i="99"/>
  <c r="F25" i="99"/>
  <c r="D25" i="99"/>
  <c r="C25" i="99"/>
  <c r="B25" i="99"/>
  <c r="O24" i="99"/>
  <c r="N24" i="99"/>
  <c r="I24" i="99"/>
  <c r="K24" i="99" s="1"/>
  <c r="H24" i="99"/>
  <c r="G24" i="99"/>
  <c r="F24" i="99"/>
  <c r="D24" i="99"/>
  <c r="C24" i="99"/>
  <c r="B24" i="99"/>
  <c r="O23" i="99"/>
  <c r="N23" i="99"/>
  <c r="I23" i="99"/>
  <c r="M23" i="99" s="1"/>
  <c r="H23" i="99"/>
  <c r="G23" i="99"/>
  <c r="F23" i="99"/>
  <c r="D23" i="99"/>
  <c r="C23" i="99"/>
  <c r="B23" i="99"/>
  <c r="O22" i="99"/>
  <c r="N22" i="99"/>
  <c r="I22" i="99"/>
  <c r="M22" i="99" s="1"/>
  <c r="H22" i="99"/>
  <c r="G22" i="99"/>
  <c r="F22" i="99"/>
  <c r="D22" i="99"/>
  <c r="C22" i="99"/>
  <c r="B22" i="99"/>
  <c r="Q21" i="99"/>
  <c r="O21" i="99"/>
  <c r="N21" i="99"/>
  <c r="I21" i="99"/>
  <c r="M21" i="99" s="1"/>
  <c r="H21" i="99"/>
  <c r="G21" i="99"/>
  <c r="F21" i="99"/>
  <c r="D21" i="99"/>
  <c r="C21" i="99"/>
  <c r="B21" i="99"/>
  <c r="Q20" i="99"/>
  <c r="O20" i="99"/>
  <c r="N20" i="99"/>
  <c r="I20" i="99"/>
  <c r="K20" i="99" s="1"/>
  <c r="H20" i="99"/>
  <c r="G20" i="99"/>
  <c r="F20" i="99"/>
  <c r="D20" i="99"/>
  <c r="C20" i="99"/>
  <c r="B20" i="99"/>
  <c r="R19" i="99"/>
  <c r="O19" i="99"/>
  <c r="N19" i="99"/>
  <c r="I19" i="99"/>
  <c r="M19" i="99" s="1"/>
  <c r="H19" i="99"/>
  <c r="G19" i="99"/>
  <c r="F19" i="99"/>
  <c r="D19" i="99"/>
  <c r="C19" i="99"/>
  <c r="B19" i="99"/>
  <c r="O18" i="99"/>
  <c r="N18" i="99"/>
  <c r="I18" i="99"/>
  <c r="M18" i="99" s="1"/>
  <c r="H18" i="99"/>
  <c r="G18" i="99"/>
  <c r="F18" i="99"/>
  <c r="D18" i="99"/>
  <c r="C18" i="99"/>
  <c r="B18" i="99"/>
  <c r="O17" i="99"/>
  <c r="N17" i="99"/>
  <c r="I17" i="99"/>
  <c r="K17" i="99" s="1"/>
  <c r="H17" i="99"/>
  <c r="G17" i="99"/>
  <c r="F17" i="99"/>
  <c r="D17" i="99"/>
  <c r="C17" i="99"/>
  <c r="B17" i="99"/>
  <c r="Q16" i="99"/>
  <c r="O16" i="99"/>
  <c r="N16" i="99"/>
  <c r="I16" i="99"/>
  <c r="K16" i="99" s="1"/>
  <c r="H16" i="99"/>
  <c r="J16" i="99" s="1"/>
  <c r="G16" i="99"/>
  <c r="F16" i="99"/>
  <c r="D16" i="99"/>
  <c r="C16" i="99"/>
  <c r="B16" i="99"/>
  <c r="AB15" i="99"/>
  <c r="Z15" i="99"/>
  <c r="R15" i="99"/>
  <c r="Q15" i="99"/>
  <c r="P15" i="99"/>
  <c r="O15" i="99"/>
  <c r="N15" i="99"/>
  <c r="I15" i="99"/>
  <c r="M15" i="99" s="1"/>
  <c r="H15" i="99"/>
  <c r="G15" i="99"/>
  <c r="F15" i="99"/>
  <c r="D15" i="99"/>
  <c r="C15" i="99"/>
  <c r="B15" i="99"/>
  <c r="AB14" i="99"/>
  <c r="Z14" i="99"/>
  <c r="O14" i="99"/>
  <c r="N14" i="99"/>
  <c r="I14" i="99"/>
  <c r="M14" i="99" s="1"/>
  <c r="H14" i="99"/>
  <c r="G14" i="99"/>
  <c r="F14" i="99"/>
  <c r="D14" i="99"/>
  <c r="C14" i="99"/>
  <c r="B14" i="99"/>
  <c r="AB13" i="99"/>
  <c r="Z13" i="99"/>
  <c r="O13" i="99"/>
  <c r="N13" i="99"/>
  <c r="I13" i="99"/>
  <c r="M13" i="99" s="1"/>
  <c r="H13" i="99"/>
  <c r="G13" i="99"/>
  <c r="F13" i="99"/>
  <c r="D13" i="99"/>
  <c r="C13" i="99"/>
  <c r="B13" i="99"/>
  <c r="AB12" i="99"/>
  <c r="Z12" i="99"/>
  <c r="O12" i="99"/>
  <c r="N12" i="99"/>
  <c r="I12" i="99"/>
  <c r="K12" i="99" s="1"/>
  <c r="H12" i="99"/>
  <c r="G12" i="99"/>
  <c r="F12" i="99"/>
  <c r="D12" i="99"/>
  <c r="C12" i="99"/>
  <c r="B12" i="99"/>
  <c r="AB11" i="99"/>
  <c r="Z11" i="99"/>
  <c r="O11" i="99"/>
  <c r="N11" i="99"/>
  <c r="I11" i="99"/>
  <c r="K11" i="99" s="1"/>
  <c r="H11" i="99"/>
  <c r="G11" i="99"/>
  <c r="F11" i="99"/>
  <c r="D11" i="99"/>
  <c r="C11" i="99"/>
  <c r="B11" i="99"/>
  <c r="AB10" i="99"/>
  <c r="Z10" i="99"/>
  <c r="O10" i="99"/>
  <c r="N10" i="99"/>
  <c r="I10" i="99"/>
  <c r="M10" i="99" s="1"/>
  <c r="H10" i="99"/>
  <c r="G10" i="99"/>
  <c r="F10" i="99"/>
  <c r="D10" i="99"/>
  <c r="C10" i="99"/>
  <c r="B10" i="99"/>
  <c r="AB9" i="99"/>
  <c r="Z9" i="99"/>
  <c r="R9" i="99"/>
  <c r="O9" i="99"/>
  <c r="N9" i="99"/>
  <c r="I9" i="99"/>
  <c r="M9" i="99" s="1"/>
  <c r="H9" i="99"/>
  <c r="G9" i="99"/>
  <c r="F9" i="99"/>
  <c r="D9" i="99"/>
  <c r="C9" i="99"/>
  <c r="B9" i="99"/>
  <c r="A9" i="99"/>
  <c r="A10" i="99" s="1"/>
  <c r="A11" i="99" s="1"/>
  <c r="A12" i="99" s="1"/>
  <c r="A13" i="99" s="1"/>
  <c r="A14" i="99" s="1"/>
  <c r="A15" i="99" s="1"/>
  <c r="A16" i="99" s="1"/>
  <c r="A17" i="99" s="1"/>
  <c r="A18" i="99" s="1"/>
  <c r="A19" i="99" s="1"/>
  <c r="A20" i="99" s="1"/>
  <c r="A21" i="99" s="1"/>
  <c r="A22" i="99" s="1"/>
  <c r="A23" i="99" s="1"/>
  <c r="A24" i="99" s="1"/>
  <c r="A25" i="99" s="1"/>
  <c r="A26" i="99" s="1"/>
  <c r="A27" i="99" s="1"/>
  <c r="AB8" i="99"/>
  <c r="Z8" i="99"/>
  <c r="O8" i="99"/>
  <c r="N8" i="99"/>
  <c r="I8" i="99"/>
  <c r="M8" i="99" s="1"/>
  <c r="H8" i="99"/>
  <c r="G8" i="99"/>
  <c r="F8" i="99"/>
  <c r="D8" i="99"/>
  <c r="C8" i="99"/>
  <c r="B8" i="99"/>
  <c r="B7" i="99"/>
  <c r="C7" i="99" s="1"/>
  <c r="D7" i="99" s="1"/>
  <c r="E7" i="99" s="1"/>
  <c r="F7" i="99" s="1"/>
  <c r="G7" i="99" s="1"/>
  <c r="H7" i="99" s="1"/>
  <c r="I7" i="99" s="1"/>
  <c r="J7" i="99" s="1"/>
  <c r="K7" i="99" s="1"/>
  <c r="L7" i="99" s="1"/>
  <c r="M7" i="99" s="1"/>
  <c r="N7" i="99" s="1"/>
  <c r="O7" i="99" s="1"/>
  <c r="P7" i="99" s="1"/>
  <c r="Q7" i="99" s="1"/>
  <c r="R7" i="99" s="1"/>
  <c r="S7" i="99" s="1"/>
  <c r="J10" i="99" l="1"/>
  <c r="J26" i="99"/>
  <c r="J23" i="99"/>
  <c r="J25" i="99"/>
  <c r="J24" i="99"/>
  <c r="M24" i="99"/>
  <c r="J22" i="99"/>
  <c r="J21" i="99"/>
  <c r="K21" i="99"/>
  <c r="J20" i="99"/>
  <c r="M20" i="99"/>
  <c r="J18" i="99"/>
  <c r="J17" i="99"/>
  <c r="M16" i="99"/>
  <c r="J14" i="99"/>
  <c r="K15" i="99"/>
  <c r="M29" i="102"/>
  <c r="J13" i="99"/>
  <c r="J12" i="99"/>
  <c r="M12" i="99"/>
  <c r="H29" i="99"/>
  <c r="J11" i="99"/>
  <c r="K29" i="102"/>
  <c r="J9" i="99"/>
  <c r="S15" i="99"/>
  <c r="J8" i="99"/>
  <c r="K9" i="99"/>
  <c r="K10" i="99"/>
  <c r="M11" i="99"/>
  <c r="K14" i="99"/>
  <c r="M17" i="99"/>
  <c r="K18" i="99"/>
  <c r="J19" i="99"/>
  <c r="K22" i="99"/>
  <c r="M25" i="99"/>
  <c r="K26" i="99"/>
  <c r="J27" i="99"/>
  <c r="K8" i="99"/>
  <c r="K13" i="99"/>
  <c r="K19" i="99"/>
  <c r="K23" i="99"/>
  <c r="K27" i="99"/>
  <c r="I29" i="99"/>
  <c r="X29" i="95"/>
  <c r="W29" i="95"/>
  <c r="L29" i="95"/>
  <c r="AB28" i="95"/>
  <c r="Z28" i="95"/>
  <c r="S28" i="95"/>
  <c r="I28" i="95"/>
  <c r="H28" i="95"/>
  <c r="G28" i="95"/>
  <c r="F28" i="95"/>
  <c r="E28" i="95"/>
  <c r="D28" i="95"/>
  <c r="C28" i="95"/>
  <c r="B28" i="95"/>
  <c r="A28" i="95"/>
  <c r="R27" i="95"/>
  <c r="Q27" i="95"/>
  <c r="P27" i="95"/>
  <c r="S27" i="95" s="1"/>
  <c r="O27" i="95"/>
  <c r="N27" i="95"/>
  <c r="I27" i="95"/>
  <c r="M27" i="95" s="1"/>
  <c r="H27" i="95"/>
  <c r="G27" i="95"/>
  <c r="F27" i="95"/>
  <c r="D27" i="95"/>
  <c r="C27" i="95"/>
  <c r="B27" i="95"/>
  <c r="R26" i="95"/>
  <c r="Q26" i="95"/>
  <c r="P26" i="95"/>
  <c r="S26" i="95" s="1"/>
  <c r="O26" i="95"/>
  <c r="N26" i="95"/>
  <c r="I26" i="95"/>
  <c r="M26" i="95" s="1"/>
  <c r="H26" i="95"/>
  <c r="G26" i="95"/>
  <c r="F26" i="95"/>
  <c r="D26" i="95"/>
  <c r="C26" i="95"/>
  <c r="B26" i="95"/>
  <c r="O25" i="95"/>
  <c r="N25" i="95"/>
  <c r="I25" i="95"/>
  <c r="K25" i="95" s="1"/>
  <c r="H25" i="95"/>
  <c r="G25" i="95"/>
  <c r="F25" i="95"/>
  <c r="D25" i="95"/>
  <c r="C25" i="95"/>
  <c r="B25" i="95"/>
  <c r="O24" i="95"/>
  <c r="N24" i="95"/>
  <c r="I24" i="95"/>
  <c r="M24" i="95" s="1"/>
  <c r="H24" i="95"/>
  <c r="G24" i="95"/>
  <c r="F24" i="95"/>
  <c r="D24" i="95"/>
  <c r="C24" i="95"/>
  <c r="B24" i="95"/>
  <c r="O23" i="95"/>
  <c r="N23" i="95"/>
  <c r="I23" i="95"/>
  <c r="K23" i="95" s="1"/>
  <c r="H23" i="95"/>
  <c r="G23" i="95"/>
  <c r="F23" i="95"/>
  <c r="D23" i="95"/>
  <c r="C23" i="95"/>
  <c r="B23" i="95"/>
  <c r="O22" i="95"/>
  <c r="N22" i="95"/>
  <c r="I22" i="95"/>
  <c r="M22" i="95" s="1"/>
  <c r="H22" i="95"/>
  <c r="G22" i="95"/>
  <c r="F22" i="95"/>
  <c r="D22" i="95"/>
  <c r="C22" i="95"/>
  <c r="B22" i="95"/>
  <c r="Q21" i="95"/>
  <c r="O21" i="95"/>
  <c r="N21" i="95"/>
  <c r="I21" i="95"/>
  <c r="M21" i="95" s="1"/>
  <c r="H21" i="95"/>
  <c r="G21" i="95"/>
  <c r="F21" i="95"/>
  <c r="D21" i="95"/>
  <c r="C21" i="95"/>
  <c r="B21" i="95"/>
  <c r="Q20" i="95"/>
  <c r="O20" i="95"/>
  <c r="N20" i="95"/>
  <c r="I20" i="95"/>
  <c r="M20" i="95" s="1"/>
  <c r="H20" i="95"/>
  <c r="G20" i="95"/>
  <c r="F20" i="95"/>
  <c r="D20" i="95"/>
  <c r="C20" i="95"/>
  <c r="B20" i="95"/>
  <c r="R19" i="95"/>
  <c r="O19" i="95"/>
  <c r="N19" i="95"/>
  <c r="I19" i="95"/>
  <c r="M19" i="95" s="1"/>
  <c r="H19" i="95"/>
  <c r="G19" i="95"/>
  <c r="F19" i="95"/>
  <c r="D19" i="95"/>
  <c r="C19" i="95"/>
  <c r="B19" i="95"/>
  <c r="O18" i="95"/>
  <c r="N18" i="95"/>
  <c r="I18" i="95"/>
  <c r="M18" i="95" s="1"/>
  <c r="H18" i="95"/>
  <c r="G18" i="95"/>
  <c r="F18" i="95"/>
  <c r="D18" i="95"/>
  <c r="C18" i="95"/>
  <c r="B18" i="95"/>
  <c r="O17" i="95"/>
  <c r="N17" i="95"/>
  <c r="I17" i="95"/>
  <c r="M17" i="95" s="1"/>
  <c r="H17" i="95"/>
  <c r="G17" i="95"/>
  <c r="F17" i="95"/>
  <c r="D17" i="95"/>
  <c r="C17" i="95"/>
  <c r="B17" i="95"/>
  <c r="Q16" i="95"/>
  <c r="O16" i="95"/>
  <c r="N16" i="95"/>
  <c r="I16" i="95"/>
  <c r="M16" i="95" s="1"/>
  <c r="H16" i="95"/>
  <c r="G16" i="95"/>
  <c r="F16" i="95"/>
  <c r="D16" i="95"/>
  <c r="C16" i="95"/>
  <c r="B16" i="95"/>
  <c r="AB15" i="95"/>
  <c r="Z15" i="95"/>
  <c r="R15" i="95"/>
  <c r="Q15" i="95"/>
  <c r="P15" i="95"/>
  <c r="O15" i="95"/>
  <c r="N15" i="95"/>
  <c r="I15" i="95"/>
  <c r="M15" i="95" s="1"/>
  <c r="H15" i="95"/>
  <c r="G15" i="95"/>
  <c r="F15" i="95"/>
  <c r="D15" i="95"/>
  <c r="C15" i="95"/>
  <c r="B15" i="95"/>
  <c r="AB14" i="95"/>
  <c r="Z14" i="95"/>
  <c r="O14" i="95"/>
  <c r="N14" i="95"/>
  <c r="I14" i="95"/>
  <c r="M14" i="95" s="1"/>
  <c r="H14" i="95"/>
  <c r="G14" i="95"/>
  <c r="F14" i="95"/>
  <c r="D14" i="95"/>
  <c r="C14" i="95"/>
  <c r="B14" i="95"/>
  <c r="AB13" i="95"/>
  <c r="Z13" i="95"/>
  <c r="O13" i="95"/>
  <c r="N13" i="95"/>
  <c r="I13" i="95"/>
  <c r="H13" i="95"/>
  <c r="G13" i="95"/>
  <c r="F13" i="95"/>
  <c r="D13" i="95"/>
  <c r="C13" i="95"/>
  <c r="B13" i="95"/>
  <c r="AB12" i="95"/>
  <c r="Z12" i="95"/>
  <c r="O12" i="95"/>
  <c r="N12" i="95"/>
  <c r="I12" i="95"/>
  <c r="M12" i="95" s="1"/>
  <c r="H12" i="95"/>
  <c r="G12" i="95"/>
  <c r="F12" i="95"/>
  <c r="D12" i="95"/>
  <c r="C12" i="95"/>
  <c r="B12" i="95"/>
  <c r="AB11" i="95"/>
  <c r="Z11" i="95"/>
  <c r="O11" i="95"/>
  <c r="N11" i="95"/>
  <c r="I11" i="95"/>
  <c r="M11" i="95" s="1"/>
  <c r="H11" i="95"/>
  <c r="G11" i="95"/>
  <c r="F11" i="95"/>
  <c r="D11" i="95"/>
  <c r="C11" i="95"/>
  <c r="B11" i="95"/>
  <c r="AB10" i="95"/>
  <c r="Z10" i="95"/>
  <c r="O10" i="95"/>
  <c r="N10" i="95"/>
  <c r="I10" i="95"/>
  <c r="H10" i="95"/>
  <c r="G10" i="95"/>
  <c r="F10" i="95"/>
  <c r="D10" i="95"/>
  <c r="C10" i="95"/>
  <c r="B10" i="95"/>
  <c r="AB9" i="95"/>
  <c r="Z9" i="95"/>
  <c r="R9" i="95"/>
  <c r="O9" i="95"/>
  <c r="N9" i="95"/>
  <c r="I9" i="95"/>
  <c r="M9" i="95" s="1"/>
  <c r="H9" i="95"/>
  <c r="G9" i="95"/>
  <c r="F9" i="95"/>
  <c r="D9" i="95"/>
  <c r="C9" i="95"/>
  <c r="B9" i="95"/>
  <c r="A9" i="95"/>
  <c r="A10" i="95" s="1"/>
  <c r="A11" i="95" s="1"/>
  <c r="A12" i="95" s="1"/>
  <c r="A13" i="95" s="1"/>
  <c r="A14" i="95" s="1"/>
  <c r="A15" i="95" s="1"/>
  <c r="A16" i="95" s="1"/>
  <c r="A17" i="95" s="1"/>
  <c r="A18" i="95" s="1"/>
  <c r="A19" i="95" s="1"/>
  <c r="A20" i="95" s="1"/>
  <c r="A21" i="95" s="1"/>
  <c r="A22" i="95" s="1"/>
  <c r="A23" i="95" s="1"/>
  <c r="A24" i="95" s="1"/>
  <c r="A25" i="95" s="1"/>
  <c r="A26" i="95" s="1"/>
  <c r="A27" i="95" s="1"/>
  <c r="AB8" i="95"/>
  <c r="Z8" i="95"/>
  <c r="O8" i="95"/>
  <c r="N8" i="95"/>
  <c r="I8" i="95"/>
  <c r="K8" i="95" s="1"/>
  <c r="H8" i="95"/>
  <c r="G8" i="95"/>
  <c r="F8" i="95"/>
  <c r="D8" i="95"/>
  <c r="C8" i="95"/>
  <c r="B8" i="95"/>
  <c r="B7" i="95"/>
  <c r="C7" i="95" s="1"/>
  <c r="D7" i="95" s="1"/>
  <c r="E7" i="95" s="1"/>
  <c r="F7" i="95" s="1"/>
  <c r="G7" i="95" s="1"/>
  <c r="H7" i="95" s="1"/>
  <c r="I7" i="95" s="1"/>
  <c r="J7" i="95" s="1"/>
  <c r="K7" i="95" s="1"/>
  <c r="L7" i="95" s="1"/>
  <c r="M7" i="95" s="1"/>
  <c r="N7" i="95" s="1"/>
  <c r="O7" i="95" s="1"/>
  <c r="P7" i="95" s="1"/>
  <c r="Q7" i="95" s="1"/>
  <c r="R7" i="95" s="1"/>
  <c r="S7" i="95" s="1"/>
  <c r="J26" i="95" l="1"/>
  <c r="M29" i="99"/>
  <c r="J12" i="95"/>
  <c r="J11" i="95"/>
  <c r="K29" i="99"/>
  <c r="J10" i="95"/>
  <c r="J16" i="95"/>
  <c r="J17" i="95"/>
  <c r="J18" i="95"/>
  <c r="J19" i="95"/>
  <c r="J20" i="95"/>
  <c r="J21" i="95"/>
  <c r="J22" i="95"/>
  <c r="J24" i="95"/>
  <c r="J13" i="95"/>
  <c r="M25" i="95"/>
  <c r="H29" i="95"/>
  <c r="J14" i="95"/>
  <c r="J23" i="95"/>
  <c r="J28" i="95"/>
  <c r="J9" i="95"/>
  <c r="M23" i="95"/>
  <c r="K9" i="95"/>
  <c r="S15" i="95"/>
  <c r="J25" i="95"/>
  <c r="M8" i="95"/>
  <c r="K10" i="95"/>
  <c r="K11" i="95"/>
  <c r="K12" i="95"/>
  <c r="K13" i="95"/>
  <c r="K14" i="95"/>
  <c r="K15" i="95"/>
  <c r="K16" i="95"/>
  <c r="K18" i="95"/>
  <c r="K20" i="95"/>
  <c r="K22" i="95"/>
  <c r="K24" i="95"/>
  <c r="K26" i="95"/>
  <c r="I29" i="95"/>
  <c r="M10" i="95"/>
  <c r="M13" i="95"/>
  <c r="J27" i="95"/>
  <c r="J8" i="95"/>
  <c r="K17" i="95"/>
  <c r="K19" i="95"/>
  <c r="K21" i="95"/>
  <c r="K27" i="95"/>
  <c r="O16" i="2"/>
  <c r="N16" i="2"/>
  <c r="I16" i="2"/>
  <c r="H16" i="2"/>
  <c r="G16" i="2"/>
  <c r="F16" i="2"/>
  <c r="E16" i="2"/>
  <c r="D16" i="2"/>
  <c r="C16" i="2"/>
  <c r="B16" i="2"/>
  <c r="F13" i="93"/>
  <c r="C14" i="93"/>
  <c r="C15" i="93"/>
  <c r="C16" i="93"/>
  <c r="J16" i="2"/>
  <c r="E33" i="93"/>
  <c r="H33" i="93" s="1"/>
  <c r="H34" i="93" s="1"/>
  <c r="H56" i="93"/>
  <c r="H60" i="93"/>
  <c r="H61" i="93" l="1"/>
  <c r="J15" i="102"/>
  <c r="J29" i="102" s="1"/>
  <c r="J15" i="99"/>
  <c r="J29" i="99" s="1"/>
  <c r="J15" i="95"/>
  <c r="J29" i="95" s="1"/>
  <c r="K29" i="95"/>
  <c r="M29" i="95"/>
  <c r="H49" i="84" l="1"/>
  <c r="H49" i="78"/>
  <c r="Q23" i="102" l="1"/>
  <c r="Q23" i="99"/>
  <c r="Q23" i="95"/>
  <c r="Q25" i="102"/>
  <c r="Q25" i="99"/>
  <c r="Q25" i="95"/>
  <c r="C14" i="67"/>
  <c r="H68" i="71"/>
  <c r="E34" i="71"/>
  <c r="H34" i="71" s="1"/>
  <c r="H35" i="71" s="1"/>
  <c r="C23" i="71"/>
  <c r="C16" i="71"/>
  <c r="C15" i="71"/>
  <c r="C14" i="71"/>
  <c r="F13" i="71"/>
  <c r="C15" i="80"/>
  <c r="P19" i="102" l="1"/>
  <c r="P19" i="99"/>
  <c r="P19" i="95"/>
  <c r="C16" i="69"/>
  <c r="H72" i="27" l="1"/>
  <c r="H65" i="27"/>
  <c r="H49" i="27"/>
  <c r="E33" i="27"/>
  <c r="H33" i="27" s="1"/>
  <c r="H34" i="27" s="1"/>
  <c r="C23" i="27"/>
  <c r="C16" i="27"/>
  <c r="C15" i="27"/>
  <c r="C14" i="27"/>
  <c r="F13" i="27"/>
  <c r="Q9" i="102" l="1"/>
  <c r="Q9" i="99"/>
  <c r="Q9" i="95"/>
  <c r="P9" i="102"/>
  <c r="P9" i="99"/>
  <c r="S9" i="99" s="1"/>
  <c r="Y9" i="99" s="1"/>
  <c r="Y29" i="99" s="1"/>
  <c r="P9" i="95"/>
  <c r="H68" i="27"/>
  <c r="H73" i="27" s="1"/>
  <c r="S9" i="102" l="1"/>
  <c r="Y9" i="102" s="1"/>
  <c r="Y29" i="102" s="1"/>
  <c r="S9" i="95"/>
  <c r="Y9" i="95" s="1"/>
  <c r="Y29" i="95" s="1"/>
  <c r="C15" i="74"/>
  <c r="H57" i="85" l="1"/>
  <c r="B8" i="2"/>
  <c r="C8" i="2" s="1"/>
  <c r="D8" i="2" s="1"/>
  <c r="E8" i="2" s="1"/>
  <c r="F8" i="2" s="1"/>
  <c r="G8" i="2" s="1"/>
  <c r="H8" i="2" s="1"/>
  <c r="I8" i="2" s="1"/>
  <c r="J8" i="2" s="1"/>
  <c r="K8" i="2" s="1"/>
  <c r="L8" i="2" s="1"/>
  <c r="M8" i="2" s="1"/>
  <c r="N8" i="2" s="1"/>
  <c r="O8" i="2" s="1"/>
  <c r="P8" i="2" s="1"/>
  <c r="Q8" i="2" s="1"/>
  <c r="R8" i="2" s="1"/>
  <c r="S8" i="2" s="1"/>
  <c r="O24" i="2"/>
  <c r="Q24" i="2"/>
  <c r="O23" i="2"/>
  <c r="O22" i="2"/>
  <c r="Q21" i="2"/>
  <c r="O21" i="2"/>
  <c r="R20" i="2"/>
  <c r="P20" i="2"/>
  <c r="O20" i="2"/>
  <c r="O19" i="2"/>
  <c r="O18" i="2"/>
  <c r="O15" i="2"/>
  <c r="O14" i="2"/>
  <c r="O13" i="2"/>
  <c r="O12" i="2"/>
  <c r="O11" i="2"/>
  <c r="R10" i="2"/>
  <c r="Q10" i="2"/>
  <c r="P10" i="2"/>
  <c r="O10" i="2"/>
  <c r="O9" i="2"/>
  <c r="N26" i="2"/>
  <c r="O25" i="2"/>
  <c r="N25" i="2"/>
  <c r="N24" i="2"/>
  <c r="N23" i="2"/>
  <c r="N22" i="2"/>
  <c r="N21" i="2"/>
  <c r="N20" i="2"/>
  <c r="N19" i="2"/>
  <c r="N18" i="2"/>
  <c r="N17" i="2"/>
  <c r="N15" i="2"/>
  <c r="N14" i="2"/>
  <c r="N13" i="2"/>
  <c r="N12" i="2"/>
  <c r="N11" i="2"/>
  <c r="N10" i="2"/>
  <c r="N9" i="2"/>
  <c r="O17" i="2"/>
  <c r="I17" i="2"/>
  <c r="H17" i="2"/>
  <c r="G17" i="2"/>
  <c r="F17" i="2"/>
  <c r="E17" i="2"/>
  <c r="D17" i="2"/>
  <c r="C17" i="2"/>
  <c r="B17" i="2"/>
  <c r="O26" i="2"/>
  <c r="I26" i="2"/>
  <c r="K26" i="2" s="1"/>
  <c r="H26" i="2"/>
  <c r="G26" i="2"/>
  <c r="F26" i="2"/>
  <c r="E26" i="2"/>
  <c r="D26" i="2"/>
  <c r="C26" i="2"/>
  <c r="B26" i="2"/>
  <c r="A10" i="2"/>
  <c r="A11" i="2" s="1"/>
  <c r="A12" i="2" s="1"/>
  <c r="A13" i="2" s="1"/>
  <c r="A14" i="2" s="1"/>
  <c r="A15" i="2" s="1"/>
  <c r="A16" i="2" s="1"/>
  <c r="A17" i="2" s="1"/>
  <c r="A18" i="2" s="1"/>
  <c r="A19" i="2" s="1"/>
  <c r="A20" i="2" s="1"/>
  <c r="A21" i="2" s="1"/>
  <c r="A22" i="2" s="1"/>
  <c r="A23" i="2" s="1"/>
  <c r="A24" i="2" s="1"/>
  <c r="A25" i="2" s="1"/>
  <c r="A26" i="2" s="1"/>
  <c r="A27" i="2" s="1"/>
  <c r="A28" i="2" s="1"/>
  <c r="H63" i="85"/>
  <c r="Q17" i="2"/>
  <c r="E33" i="85"/>
  <c r="H33" i="85" s="1"/>
  <c r="H34" i="85" s="1"/>
  <c r="C23" i="85"/>
  <c r="C16" i="85"/>
  <c r="C15" i="85"/>
  <c r="C14" i="85"/>
  <c r="F13" i="85"/>
  <c r="H61" i="84"/>
  <c r="H55" i="84"/>
  <c r="E33" i="84"/>
  <c r="H33" i="84" s="1"/>
  <c r="H34" i="84" s="1"/>
  <c r="C23" i="84"/>
  <c r="C16" i="84"/>
  <c r="C14" i="84"/>
  <c r="C15" i="84" s="1"/>
  <c r="F13" i="84"/>
  <c r="C11" i="84"/>
  <c r="R16" i="102" l="1"/>
  <c r="R16" i="99"/>
  <c r="R16" i="95"/>
  <c r="R26" i="2"/>
  <c r="R25" i="102"/>
  <c r="R25" i="99"/>
  <c r="R25" i="95"/>
  <c r="P26" i="2"/>
  <c r="P25" i="102"/>
  <c r="P25" i="99"/>
  <c r="P25" i="95"/>
  <c r="P17" i="2"/>
  <c r="P16" i="102"/>
  <c r="S16" i="102" s="1"/>
  <c r="P16" i="99"/>
  <c r="S16" i="99" s="1"/>
  <c r="P16" i="95"/>
  <c r="S16" i="95" s="1"/>
  <c r="M17" i="2"/>
  <c r="K17" i="2"/>
  <c r="M26" i="2"/>
  <c r="J17" i="2"/>
  <c r="H57" i="84"/>
  <c r="H62" i="84" s="1"/>
  <c r="Q26" i="2"/>
  <c r="J26" i="2"/>
  <c r="S10" i="2"/>
  <c r="S25" i="95" l="1"/>
  <c r="S25" i="99"/>
  <c r="S26" i="2"/>
  <c r="S25" i="102"/>
  <c r="H21" i="2"/>
  <c r="I12" i="2"/>
  <c r="H12" i="2"/>
  <c r="G12" i="2"/>
  <c r="F12" i="2"/>
  <c r="X42" i="2"/>
  <c r="W42" i="2"/>
  <c r="L42" i="2"/>
  <c r="I25" i="2"/>
  <c r="H25" i="2"/>
  <c r="G25" i="2"/>
  <c r="F25" i="2"/>
  <c r="E25" i="2"/>
  <c r="D25" i="2"/>
  <c r="C25" i="2"/>
  <c r="B25" i="2"/>
  <c r="I24" i="2"/>
  <c r="H24" i="2"/>
  <c r="G24" i="2"/>
  <c r="F24" i="2"/>
  <c r="E24" i="2"/>
  <c r="D24" i="2"/>
  <c r="C24" i="2"/>
  <c r="B24" i="2"/>
  <c r="I23" i="2"/>
  <c r="H23" i="2"/>
  <c r="G23" i="2"/>
  <c r="F23" i="2"/>
  <c r="E23" i="2"/>
  <c r="D23" i="2"/>
  <c r="C23" i="2"/>
  <c r="B23" i="2"/>
  <c r="I22" i="2"/>
  <c r="H22" i="2"/>
  <c r="G22" i="2"/>
  <c r="F22" i="2"/>
  <c r="E22" i="2"/>
  <c r="D22" i="2"/>
  <c r="C22" i="2"/>
  <c r="B22" i="2"/>
  <c r="I21" i="2"/>
  <c r="K21" i="2" s="1"/>
  <c r="G21" i="2"/>
  <c r="F21" i="2"/>
  <c r="E21" i="2"/>
  <c r="D21" i="2"/>
  <c r="C21" i="2"/>
  <c r="B21" i="2"/>
  <c r="I20" i="2"/>
  <c r="H20" i="2"/>
  <c r="G20" i="2"/>
  <c r="F20" i="2"/>
  <c r="E20" i="2"/>
  <c r="D20" i="2"/>
  <c r="C20" i="2"/>
  <c r="B20" i="2"/>
  <c r="I19" i="2"/>
  <c r="H19" i="2"/>
  <c r="G19" i="2"/>
  <c r="F19" i="2"/>
  <c r="E19" i="2"/>
  <c r="D19" i="2"/>
  <c r="C19" i="2"/>
  <c r="B19" i="2"/>
  <c r="I18" i="2"/>
  <c r="H18" i="2"/>
  <c r="G18" i="2"/>
  <c r="F18" i="2"/>
  <c r="E18" i="2"/>
  <c r="D18" i="2"/>
  <c r="C18" i="2"/>
  <c r="B18" i="2"/>
  <c r="I15" i="2"/>
  <c r="H15" i="2"/>
  <c r="G15" i="2"/>
  <c r="F15" i="2"/>
  <c r="E15" i="2"/>
  <c r="D15" i="2"/>
  <c r="C15" i="2"/>
  <c r="B15" i="2"/>
  <c r="I14" i="2"/>
  <c r="H14" i="2"/>
  <c r="G14" i="2"/>
  <c r="F14" i="2"/>
  <c r="E14" i="2"/>
  <c r="D14" i="2"/>
  <c r="C14" i="2"/>
  <c r="B14" i="2"/>
  <c r="I13" i="2"/>
  <c r="H13" i="2"/>
  <c r="G13" i="2"/>
  <c r="F13" i="2"/>
  <c r="E13" i="2"/>
  <c r="D13" i="2"/>
  <c r="C13" i="2"/>
  <c r="B13" i="2"/>
  <c r="E12" i="2"/>
  <c r="D12" i="2"/>
  <c r="C12" i="2"/>
  <c r="B12" i="2"/>
  <c r="I11" i="2"/>
  <c r="H11" i="2"/>
  <c r="G11" i="2"/>
  <c r="F11" i="2"/>
  <c r="E11" i="2"/>
  <c r="D11" i="2"/>
  <c r="C11" i="2"/>
  <c r="B11" i="2"/>
  <c r="I10" i="2"/>
  <c r="K10" i="2" s="1"/>
  <c r="H10" i="2"/>
  <c r="B10" i="2"/>
  <c r="I9" i="2"/>
  <c r="H9" i="2"/>
  <c r="H42" i="2" s="1"/>
  <c r="G9" i="2"/>
  <c r="F9" i="2"/>
  <c r="E9" i="2"/>
  <c r="D9" i="2"/>
  <c r="C9" i="2"/>
  <c r="B9" i="2"/>
  <c r="I42" i="2" l="1"/>
  <c r="J13" i="2"/>
  <c r="M16" i="2"/>
  <c r="K16" i="2"/>
  <c r="M11" i="2"/>
  <c r="K11" i="2"/>
  <c r="M13" i="2"/>
  <c r="K13" i="2"/>
  <c r="M14" i="2"/>
  <c r="K14" i="2"/>
  <c r="M15" i="2"/>
  <c r="K15" i="2"/>
  <c r="M18" i="2"/>
  <c r="K18" i="2"/>
  <c r="M19" i="2"/>
  <c r="K19" i="2"/>
  <c r="M20" i="2"/>
  <c r="K20" i="2"/>
  <c r="M12" i="2"/>
  <c r="K12" i="2"/>
  <c r="M22" i="2"/>
  <c r="K22" i="2"/>
  <c r="M23" i="2"/>
  <c r="K23" i="2"/>
  <c r="K28" i="2"/>
  <c r="M28" i="2"/>
  <c r="K27" i="2"/>
  <c r="M27" i="2"/>
  <c r="K25" i="2"/>
  <c r="M25" i="2"/>
  <c r="K24" i="2"/>
  <c r="M24" i="2"/>
  <c r="M9" i="2"/>
  <c r="K9" i="2"/>
  <c r="J21" i="2"/>
  <c r="M21" i="2"/>
  <c r="J14" i="2"/>
  <c r="J11" i="2"/>
  <c r="J10" i="2"/>
  <c r="M10" i="2"/>
  <c r="J9" i="2"/>
  <c r="J20" i="2"/>
  <c r="J22" i="2"/>
  <c r="J23" i="2"/>
  <c r="J24" i="2"/>
  <c r="J12" i="2"/>
  <c r="J19" i="2"/>
  <c r="J25" i="2"/>
  <c r="J27" i="2"/>
  <c r="J28" i="2"/>
  <c r="J15" i="2"/>
  <c r="J18" i="2"/>
  <c r="C15" i="81"/>
  <c r="H62" i="81"/>
  <c r="H56" i="81"/>
  <c r="E33" i="81"/>
  <c r="H33" i="81" s="1"/>
  <c r="H34" i="81" s="1"/>
  <c r="C23" i="81"/>
  <c r="C16" i="81"/>
  <c r="C14" i="81"/>
  <c r="F13" i="81"/>
  <c r="H62" i="80"/>
  <c r="E33" i="80"/>
  <c r="H33" i="80" s="1"/>
  <c r="H34" i="80" s="1"/>
  <c r="C23" i="80"/>
  <c r="C16" i="80"/>
  <c r="C14" i="80"/>
  <c r="F13" i="80"/>
  <c r="K42" i="2" l="1"/>
  <c r="J42" i="2"/>
  <c r="M42" i="2"/>
  <c r="H58" i="81"/>
  <c r="H63" i="81" s="1"/>
  <c r="Q18" i="102"/>
  <c r="Q18" i="99"/>
  <c r="Q18" i="95"/>
  <c r="Q19" i="2"/>
  <c r="R18" i="102"/>
  <c r="R18" i="99"/>
  <c r="R18" i="95"/>
  <c r="R19" i="2"/>
  <c r="P19" i="2"/>
  <c r="P18" i="102"/>
  <c r="P18" i="99"/>
  <c r="P18" i="95"/>
  <c r="R15" i="2"/>
  <c r="R14" i="102"/>
  <c r="R14" i="99"/>
  <c r="R14" i="95"/>
  <c r="Q15" i="2"/>
  <c r="Q14" i="102"/>
  <c r="Q14" i="99"/>
  <c r="Q14" i="95"/>
  <c r="P15" i="2"/>
  <c r="P14" i="102"/>
  <c r="P14" i="99"/>
  <c r="S14" i="99" s="1"/>
  <c r="P14" i="95"/>
  <c r="H58" i="80"/>
  <c r="H63" i="80"/>
  <c r="H55" i="78"/>
  <c r="H61" i="78"/>
  <c r="E33" i="78"/>
  <c r="H33" i="78" s="1"/>
  <c r="H34" i="78" s="1"/>
  <c r="C23" i="78"/>
  <c r="C16" i="78"/>
  <c r="C14" i="78"/>
  <c r="C15" i="78" s="1"/>
  <c r="F13" i="78"/>
  <c r="C11" i="78"/>
  <c r="E33" i="63"/>
  <c r="F13" i="63"/>
  <c r="E33" i="62"/>
  <c r="F13" i="62"/>
  <c r="C15" i="62"/>
  <c r="E33" i="64"/>
  <c r="E33" i="67"/>
  <c r="F13" i="72"/>
  <c r="E33" i="70"/>
  <c r="F13" i="70"/>
  <c r="E33" i="69"/>
  <c r="S14" i="102" l="1"/>
  <c r="S18" i="95"/>
  <c r="S18" i="99"/>
  <c r="S18" i="102"/>
  <c r="S19" i="2"/>
  <c r="S14" i="95"/>
  <c r="R24" i="2"/>
  <c r="R23" i="102"/>
  <c r="R23" i="99"/>
  <c r="R23" i="95"/>
  <c r="P24" i="2"/>
  <c r="P23" i="102"/>
  <c r="P23" i="99"/>
  <c r="P23" i="95"/>
  <c r="S15" i="2"/>
  <c r="H57" i="78"/>
  <c r="H62" i="78" s="1"/>
  <c r="F13" i="69"/>
  <c r="E33" i="74"/>
  <c r="H33" i="74" s="1"/>
  <c r="H34" i="74" s="1"/>
  <c r="F13" i="74"/>
  <c r="C14" i="74"/>
  <c r="C16" i="74"/>
  <c r="C23" i="74"/>
  <c r="H61" i="74"/>
  <c r="H67" i="74"/>
  <c r="C14" i="72"/>
  <c r="C15" i="72"/>
  <c r="C16" i="72"/>
  <c r="E33" i="72"/>
  <c r="H33" i="72" s="1"/>
  <c r="H34" i="72" s="1"/>
  <c r="H56" i="72"/>
  <c r="H62" i="72"/>
  <c r="S24" i="2" l="1"/>
  <c r="S23" i="95"/>
  <c r="S23" i="99"/>
  <c r="S23" i="102"/>
  <c r="R18" i="2"/>
  <c r="R17" i="102"/>
  <c r="R17" i="99"/>
  <c r="R17" i="95"/>
  <c r="Q17" i="102"/>
  <c r="Q17" i="99"/>
  <c r="Q17" i="95"/>
  <c r="Q18" i="2"/>
  <c r="P18" i="2"/>
  <c r="P17" i="102"/>
  <c r="P17" i="99"/>
  <c r="P17" i="95"/>
  <c r="S17" i="95" s="1"/>
  <c r="R8" i="102"/>
  <c r="R8" i="99"/>
  <c r="R8" i="95"/>
  <c r="Q9" i="2"/>
  <c r="Q8" i="102"/>
  <c r="Q8" i="99"/>
  <c r="Q8" i="95"/>
  <c r="P9" i="2"/>
  <c r="P8" i="102"/>
  <c r="P8" i="99"/>
  <c r="P8" i="95"/>
  <c r="S28" i="2"/>
  <c r="H63" i="74"/>
  <c r="R9" i="2"/>
  <c r="H58" i="72"/>
  <c r="H63" i="72" s="1"/>
  <c r="H68" i="74"/>
  <c r="S18" i="2" l="1"/>
  <c r="S17" i="102"/>
  <c r="S17" i="99"/>
  <c r="S9" i="2"/>
  <c r="S8" i="99"/>
  <c r="S8" i="102"/>
  <c r="S8" i="95"/>
  <c r="C11" i="70"/>
  <c r="C14" i="70"/>
  <c r="C15" i="70" s="1"/>
  <c r="C16" i="70"/>
  <c r="C23" i="70"/>
  <c r="H33" i="70"/>
  <c r="H34" i="70" s="1"/>
  <c r="H49" i="70"/>
  <c r="H57" i="70"/>
  <c r="H64" i="70"/>
  <c r="C14" i="69"/>
  <c r="C23" i="69"/>
  <c r="H33" i="69"/>
  <c r="H34" i="69" s="1"/>
  <c r="H55" i="69"/>
  <c r="H61" i="69"/>
  <c r="C15" i="67"/>
  <c r="F13" i="67"/>
  <c r="C16" i="67"/>
  <c r="C23" i="67"/>
  <c r="H33" i="67"/>
  <c r="H34" i="67" s="1"/>
  <c r="H55" i="67"/>
  <c r="H61" i="67"/>
  <c r="F13" i="64"/>
  <c r="C14" i="64"/>
  <c r="C16" i="64"/>
  <c r="C23" i="64"/>
  <c r="H33" i="64"/>
  <c r="H34" i="64" s="1"/>
  <c r="Q22" i="2"/>
  <c r="H59" i="64"/>
  <c r="C11" i="63"/>
  <c r="C14" i="63"/>
  <c r="C15" i="63" s="1"/>
  <c r="C16" i="63"/>
  <c r="C23" i="63"/>
  <c r="H33" i="63"/>
  <c r="H34" i="63" s="1"/>
  <c r="H69" i="63"/>
  <c r="C14" i="62"/>
  <c r="C16" i="62"/>
  <c r="C23" i="62"/>
  <c r="H33" i="62"/>
  <c r="H34" i="62" s="1"/>
  <c r="H49" i="62"/>
  <c r="H57" i="62"/>
  <c r="H63" i="62"/>
  <c r="Q12" i="2" l="1"/>
  <c r="Q11" i="102"/>
  <c r="Q11" i="99"/>
  <c r="Q11" i="95"/>
  <c r="R12" i="2"/>
  <c r="R11" i="102"/>
  <c r="R11" i="99"/>
  <c r="R11" i="95"/>
  <c r="P25" i="2"/>
  <c r="P24" i="102"/>
  <c r="P24" i="99"/>
  <c r="P24" i="95"/>
  <c r="Q24" i="102"/>
  <c r="Q24" i="99"/>
  <c r="Q24" i="95"/>
  <c r="Q25" i="2"/>
  <c r="H59" i="62"/>
  <c r="H64" i="62" s="1"/>
  <c r="R24" i="102"/>
  <c r="R24" i="99"/>
  <c r="R24" i="95"/>
  <c r="R25" i="2"/>
  <c r="R23" i="2"/>
  <c r="R22" i="102"/>
  <c r="R22" i="99"/>
  <c r="R22" i="95"/>
  <c r="Q23" i="2"/>
  <c r="Q22" i="102"/>
  <c r="Q22" i="99"/>
  <c r="Q22" i="95"/>
  <c r="P23" i="2"/>
  <c r="P22" i="102"/>
  <c r="S22" i="102" s="1"/>
  <c r="P22" i="99"/>
  <c r="P22" i="95"/>
  <c r="P22" i="2"/>
  <c r="P21" i="102"/>
  <c r="P21" i="99"/>
  <c r="P21" i="95"/>
  <c r="R21" i="102"/>
  <c r="R20" i="102"/>
  <c r="R20" i="99"/>
  <c r="R21" i="99"/>
  <c r="R20" i="95"/>
  <c r="R21" i="95"/>
  <c r="R22" i="2"/>
  <c r="R21" i="2"/>
  <c r="P21" i="2"/>
  <c r="P20" i="102"/>
  <c r="S20" i="102" s="1"/>
  <c r="P20" i="99"/>
  <c r="S20" i="99" s="1"/>
  <c r="P20" i="95"/>
  <c r="R12" i="102"/>
  <c r="R12" i="99"/>
  <c r="R12" i="95"/>
  <c r="R13" i="2"/>
  <c r="Q12" i="102"/>
  <c r="Q12" i="99"/>
  <c r="Q12" i="95"/>
  <c r="Q13" i="2"/>
  <c r="P13" i="2"/>
  <c r="P12" i="102"/>
  <c r="P12" i="99"/>
  <c r="P12" i="95"/>
  <c r="P12" i="2"/>
  <c r="S12" i="2" s="1"/>
  <c r="P11" i="102"/>
  <c r="S11" i="102" s="1"/>
  <c r="P11" i="99"/>
  <c r="S11" i="99" s="1"/>
  <c r="P11" i="95"/>
  <c r="H65" i="63"/>
  <c r="H70" i="63" s="1"/>
  <c r="H60" i="64"/>
  <c r="H57" i="67"/>
  <c r="H62" i="67" s="1"/>
  <c r="H60" i="70"/>
  <c r="H65" i="70" s="1"/>
  <c r="H57" i="69"/>
  <c r="H62" i="69" s="1"/>
  <c r="S23" i="2" l="1"/>
  <c r="S20" i="95"/>
  <c r="S21" i="99"/>
  <c r="S22" i="2"/>
  <c r="S12" i="99"/>
  <c r="S12" i="102"/>
  <c r="S11" i="95"/>
  <c r="S22" i="95"/>
  <c r="S24" i="99"/>
  <c r="S24" i="95"/>
  <c r="S24" i="102"/>
  <c r="S25" i="2"/>
  <c r="S22" i="99"/>
  <c r="S21" i="102"/>
  <c r="S21" i="95"/>
  <c r="S21" i="2"/>
  <c r="S13" i="2"/>
  <c r="S12" i="95"/>
  <c r="E33" i="38"/>
  <c r="P16" i="2"/>
  <c r="E33" i="59"/>
  <c r="H33" i="59" s="1"/>
  <c r="H34" i="59" s="1"/>
  <c r="F13" i="59"/>
  <c r="C14" i="59"/>
  <c r="C16" i="59"/>
  <c r="C23" i="59"/>
  <c r="H69" i="59"/>
  <c r="Q16" i="2"/>
  <c r="R16" i="2"/>
  <c r="Q13" i="102" l="1"/>
  <c r="Q13" i="99"/>
  <c r="Q13" i="95"/>
  <c r="Q14" i="2"/>
  <c r="P14" i="2"/>
  <c r="P13" i="102"/>
  <c r="P13" i="99"/>
  <c r="P13" i="95"/>
  <c r="S16" i="2"/>
  <c r="H65" i="38" l="1"/>
  <c r="H33" i="38"/>
  <c r="H34" i="38" s="1"/>
  <c r="C23" i="38"/>
  <c r="C16" i="38"/>
  <c r="C14" i="38"/>
  <c r="C15" i="38" s="1"/>
  <c r="C11" i="38"/>
  <c r="Q11" i="2" l="1"/>
  <c r="Q10" i="102"/>
  <c r="Q10" i="99"/>
  <c r="Q10" i="95"/>
  <c r="R11" i="2"/>
  <c r="R10" i="102"/>
  <c r="R10" i="99"/>
  <c r="R10" i="95"/>
  <c r="P11" i="2"/>
  <c r="P42" i="2" s="1"/>
  <c r="P10" i="102"/>
  <c r="P10" i="99"/>
  <c r="P10" i="95"/>
  <c r="H61" i="38"/>
  <c r="H66" i="38" s="1"/>
  <c r="G10" i="2"/>
  <c r="F10" i="2"/>
  <c r="E10" i="2"/>
  <c r="D10" i="2"/>
  <c r="C10" i="2"/>
  <c r="Y10" i="2"/>
  <c r="S11" i="2" l="1"/>
  <c r="S10" i="95"/>
  <c r="P29" i="95"/>
  <c r="Q29" i="95"/>
  <c r="S10" i="99"/>
  <c r="Q29" i="99"/>
  <c r="P29" i="99"/>
  <c r="S10" i="102"/>
  <c r="P29" i="102"/>
  <c r="Q29" i="102"/>
  <c r="AB9" i="2"/>
  <c r="Z9" i="2"/>
  <c r="AB16" i="2"/>
  <c r="Z16" i="2"/>
  <c r="AB15" i="2"/>
  <c r="Z15" i="2"/>
  <c r="AB14" i="2"/>
  <c r="Z14" i="2"/>
  <c r="AB13" i="2"/>
  <c r="Z13" i="2"/>
  <c r="AB12" i="2"/>
  <c r="Z12" i="2"/>
  <c r="AB11" i="2"/>
  <c r="Z11" i="2"/>
  <c r="AB10" i="2"/>
  <c r="Z10" i="2"/>
  <c r="Y42" i="2" l="1"/>
  <c r="R17" i="2" l="1"/>
  <c r="S17" i="2" s="1"/>
  <c r="H59" i="85"/>
  <c r="H64" i="85" s="1"/>
  <c r="R14" i="2" l="1"/>
  <c r="R13" i="99"/>
  <c r="S29" i="99" s="1"/>
  <c r="R13" i="102"/>
  <c r="S13" i="102" s="1"/>
  <c r="H65" i="59"/>
  <c r="H70" i="59" s="1"/>
  <c r="R13" i="95"/>
  <c r="S13" i="95" s="1"/>
  <c r="S14" i="2" l="1"/>
  <c r="R42" i="2"/>
  <c r="S42" i="2"/>
  <c r="S29" i="95"/>
  <c r="S29" i="102"/>
  <c r="S13" i="99"/>
  <c r="Q19" i="99"/>
  <c r="R29" i="99" s="1"/>
  <c r="Q20" i="2"/>
  <c r="Q19" i="102"/>
  <c r="S19" i="102" s="1"/>
  <c r="Q19" i="95"/>
  <c r="R29" i="95" s="1"/>
  <c r="H64" i="71"/>
  <c r="H69" i="71" s="1"/>
  <c r="S20" i="2" l="1"/>
  <c r="Q42" i="2"/>
  <c r="S19" i="95"/>
  <c r="S19" i="99"/>
  <c r="R29" i="102"/>
</calcChain>
</file>

<file path=xl/sharedStrings.xml><?xml version="1.0" encoding="utf-8"?>
<sst xmlns="http://schemas.openxmlformats.org/spreadsheetml/2006/main" count="4996" uniqueCount="598">
  <si>
    <t>CỘNG HÒA XÃ HỘI CHỦ NGHĨA VIỆT NAM</t>
  </si>
  <si>
    <t>Độc lập - Tự do - Hạnh phúc</t>
  </si>
  <si>
    <t>I.</t>
  </si>
  <si>
    <t>NGƯỜI SỬ DỤNG ĐẤT VÀ SỞ HỮU TÀI SẢN GẮN LIỀN VỚI ĐẤT THU HỒI:</t>
  </si>
  <si>
    <t>1.</t>
  </si>
  <si>
    <t xml:space="preserve">Họ và tên người sử dụng đất thu hồi: </t>
  </si>
  <si>
    <t>Nơi ở hiện nay:</t>
  </si>
  <si>
    <t>Nơi thường trú:</t>
  </si>
  <si>
    <t>Số định danh cá nhân</t>
  </si>
  <si>
    <t>2.</t>
  </si>
  <si>
    <t xml:space="preserve">Họ và tên người sở hữu tài sản gắn liền với đất thu hồi: </t>
  </si>
  <si>
    <t>Số định danh cá nhân:</t>
  </si>
  <si>
    <t>II</t>
  </si>
  <si>
    <t>HIỆN TRẠNG SỦ DỤNG ĐẤT VÀ TÀI SẢN GẮN LIỀN VỚI ĐẤT THU HỒI:</t>
  </si>
  <si>
    <t>Hiện trạng sử dụng đất:</t>
  </si>
  <si>
    <t xml:space="preserve">Thửa đất số: </t>
  </si>
  <si>
    <t>Tờ bản đồ số:</t>
  </si>
  <si>
    <t>Diện tích thửa đất:</t>
  </si>
  <si>
    <t>Trong đó:</t>
  </si>
  <si>
    <t>Trong chỉ giới GPMB:</t>
  </si>
  <si>
    <t>Ngoài chỉ giới GPMB:</t>
  </si>
  <si>
    <t xml:space="preserve">Vị trí, địa điểm thu hồi đất: </t>
  </si>
  <si>
    <t>3.</t>
  </si>
  <si>
    <t>4.</t>
  </si>
  <si>
    <t>Bồi thường về đất và tái định cư:</t>
  </si>
  <si>
    <t>TT</t>
  </si>
  <si>
    <t>Tiền Bồi thường 
(Giá trị quyền sử dụng đất của diện tích đất thu hồi)</t>
  </si>
  <si>
    <t>Loại đất</t>
  </si>
  <si>
    <t xml:space="preserve">Đơn vị tính </t>
  </si>
  <si>
    <t>Khối lượng</t>
  </si>
  <si>
    <t>Đơn giá (đồng/m2)</t>
  </si>
  <si>
    <t>Tỷ lệ BT, HT (%)</t>
  </si>
  <si>
    <t>Thành tiền 2 (đồng)</t>
  </si>
  <si>
    <t>Ghi chú</t>
  </si>
  <si>
    <t>Cộng:</t>
  </si>
  <si>
    <t>Bồi thường bằng đất ở hoặc nhà ở tái định cư (nếu có)</t>
  </si>
  <si>
    <t>Không bố trí tái định cư.</t>
  </si>
  <si>
    <t>Số tiền chênh lệch giữa tiền bồi thường đất thu hồi và tiền đất ở, nhà ở tái định cư được bố trí:</t>
  </si>
  <si>
    <t>* Người bị thu hồi đất được nhận (nếu thành tiền 1  lớn hơn thành tiền 2)</t>
  </si>
  <si>
    <t>* Người bị thu hồi đất phải nộp (nếu thành tiền 1  nhỏ hơn thành tiền 2)</t>
  </si>
  <si>
    <t>Bồi thường, hỗ trợ về tài sản gắn liền với đất bị thu hồi:</t>
  </si>
  <si>
    <t>Tên tài sản</t>
  </si>
  <si>
    <t>Quy cách tài sản</t>
  </si>
  <si>
    <t xml:space="preserve">Khối lượng </t>
  </si>
  <si>
    <t>Đơn giá</t>
  </si>
  <si>
    <t>Thành tiền (đ)</t>
  </si>
  <si>
    <t>A.</t>
  </si>
  <si>
    <t>Nhà ở, công trình xây dựng</t>
  </si>
  <si>
    <t>B.</t>
  </si>
  <si>
    <t>Cây trồng, vật nuôi là thủy sản</t>
  </si>
  <si>
    <t>Cộng (A+B) :</t>
  </si>
  <si>
    <t>Các khoản bồi thường, hỗ trợ khác:</t>
  </si>
  <si>
    <t>Khoản bồi thường, hỗ trợ</t>
  </si>
  <si>
    <t>Đơn vị tính</t>
  </si>
  <si>
    <t>Hệ số điều chỉnh</t>
  </si>
  <si>
    <t>hộ</t>
  </si>
  <si>
    <t>Tổng cộng tiền bồi thường, hỗ trợ được nhận (1+2+3+4):</t>
  </si>
  <si>
    <t>đồng</t>
  </si>
  <si>
    <t>STT</t>
  </si>
  <si>
    <t>Chủ sử dụng đất</t>
  </si>
  <si>
    <t>Nơi ở hiện nay</t>
  </si>
  <si>
    <t>Vị trí đất thu hồi</t>
  </si>
  <si>
    <t>Tờ bản đồ số</t>
  </si>
  <si>
    <t>Thửa số</t>
  </si>
  <si>
    <t>Nội dung bồi thường hỗ trợ về đất</t>
  </si>
  <si>
    <t>Số nhân khẩu</t>
  </si>
  <si>
    <t>Bồi thường về đất (đồng)</t>
  </si>
  <si>
    <t>Bồi thường về tài sản (đồng)</t>
  </si>
  <si>
    <t>Bồi thường về cây cối hoa màu (đồng)</t>
  </si>
  <si>
    <t>Tổng diện tích thửa đất đo đạc hiện trạng (m2)</t>
  </si>
  <si>
    <t>Trong đó</t>
  </si>
  <si>
    <t>Diện tích đất thu hồi (m2)</t>
  </si>
  <si>
    <t>Diện tích còn lại (m2)</t>
  </si>
  <si>
    <t>Nguồn gốc, thời gian sử dụng đất:</t>
  </si>
  <si>
    <t>Không</t>
  </si>
  <si>
    <t>KT. CHỦ TỊCH</t>
  </si>
  <si>
    <t xml:space="preserve">PHÓ CHỦ TỊCH </t>
  </si>
  <si>
    <t>Trần Văn Sơn</t>
  </si>
  <si>
    <t>Bằng chữ:</t>
  </si>
  <si>
    <t>LUC</t>
  </si>
  <si>
    <t xml:space="preserve">Tổng cộng: </t>
  </si>
  <si>
    <t>5.</t>
  </si>
  <si>
    <t>Số hộ gia đình (số cặp vợ chồng):</t>
  </si>
  <si>
    <t>6.</t>
  </si>
  <si>
    <t>khẩu</t>
  </si>
  <si>
    <t xml:space="preserve"> PHƯƠNG ÁN CHI TIẾT BỒI THƯỜNG, HỖ TRỢ VÀ TÁI ĐỊNH CƯ</t>
  </si>
  <si>
    <t xml:space="preserve">Dự án thành phần 1.2: Bồi thường, hỗ trợ và tái định cư thực hiện giải phóng mặt bằng trên địa bàn huyện Chương Mỹ thuộc Dự án đầu tư cải tạo, nâng cấp Quốc Lộ 6 đoạn Ba La - Xuân Mai (Trên địa giới hành chính xã Phú Nghĩa)
</t>
  </si>
  <si>
    <t>PHƯƠNG ÁN BỒI THƯỜNG, HỖ TRỢ VÀ TÁI ĐỊNH CƯ:</t>
  </si>
  <si>
    <t>III.</t>
  </si>
  <si>
    <t>DỰ THẢO</t>
  </si>
  <si>
    <t>Sân bê tông</t>
  </si>
  <si>
    <t xml:space="preserve">Không đồng ./. </t>
  </si>
  <si>
    <t>m</t>
  </si>
  <si>
    <t>cây</t>
  </si>
  <si>
    <t xml:space="preserve">Sân bê tông </t>
  </si>
  <si>
    <t>Giếng khơi xây gạch</t>
  </si>
  <si>
    <t>Mái vẩy lợp tôn</t>
  </si>
  <si>
    <t>Tường rào hoa sắt</t>
  </si>
  <si>
    <t>BAN QLDA ĐẦU TƯ XÂY DỰNG</t>
  </si>
  <si>
    <t>CÔNG TRÌNH GIAO THÔNG TP HÀ NỘI</t>
  </si>
  <si>
    <t xml:space="preserve">      Ban Quản lý dự án đầu tư xây dựng công trình giao thông TP Hà Nội phối hợp với UBND Xã Phú Nghĩa tiến hành công khai phương án dự thảo chi tiết tới hộ gia đình trong vòng 10 ngày. Trong thời gian công khai nếu hộ gia đình có ý kiến thắc mắc về bản Dự thảo phương án chi tiết bồi thường, hỗ trợ &amp; TĐC này thì gửi đơn về Phòng Kinh Tế - UBND Xã Phú Nghĩa.</t>
  </si>
  <si>
    <t>(Hộ gia đình ký và ghi rõ họ tên)</t>
  </si>
  <si>
    <r>
      <t xml:space="preserve">Ý kiến của hộ gia đình, cá nhân (Đánh dấu "x" vào ô </t>
    </r>
    <r>
      <rPr>
        <sz val="13"/>
        <color theme="1"/>
        <rFont val="Wingdings 2"/>
        <family val="1"/>
        <charset val="2"/>
      </rPr>
      <t>S</t>
    </r>
    <r>
      <rPr>
        <sz val="13"/>
        <color theme="1"/>
        <rFont val="Times New Roman"/>
        <family val="1"/>
      </rPr>
      <t xml:space="preserve">       ) </t>
    </r>
  </si>
  <si>
    <r>
      <t xml:space="preserve">Tôi không đồng ý với phương án dự thảo chi tiết trên    </t>
    </r>
    <r>
      <rPr>
        <b/>
        <sz val="20"/>
        <color theme="1"/>
        <rFont val="Wingdings 2"/>
        <family val="1"/>
        <charset val="2"/>
      </rPr>
      <t>*</t>
    </r>
  </si>
  <si>
    <t>Thành tiền 1 (đồng)</t>
  </si>
  <si>
    <r>
      <t>m</t>
    </r>
    <r>
      <rPr>
        <vertAlign val="superscript"/>
        <sz val="13"/>
        <rFont val="Times New Roman"/>
        <family val="1"/>
      </rPr>
      <t>2</t>
    </r>
  </si>
  <si>
    <r>
      <t>m</t>
    </r>
    <r>
      <rPr>
        <vertAlign val="superscript"/>
        <sz val="13"/>
        <color theme="1"/>
        <rFont val="Times New Roman"/>
        <family val="1"/>
      </rPr>
      <t>2</t>
    </r>
    <r>
      <rPr>
        <sz val="13"/>
        <color theme="1"/>
        <rFont val="Times New Roman"/>
        <family val="1"/>
      </rPr>
      <t xml:space="preserve"> </t>
    </r>
  </si>
  <si>
    <r>
      <t xml:space="preserve">Tôi đồng ý với phương án dự thảo chi tiết trên và đề nghị UBND xã Phú Nghĩa phê duyệt phương án bồi thường, hỗ trợ &amp; tái định cư và ban hành Quyết định thu hồi đất    </t>
    </r>
    <r>
      <rPr>
        <b/>
        <sz val="13"/>
        <color theme="1"/>
        <rFont val="Wingdings 2"/>
        <family val="1"/>
        <charset val="2"/>
      </rPr>
      <t>*</t>
    </r>
  </si>
  <si>
    <r>
      <t xml:space="preserve">Tôi không đồng ý với phương án dự thảo chi tiết trên    </t>
    </r>
    <r>
      <rPr>
        <b/>
        <sz val="13"/>
        <color theme="1"/>
        <rFont val="Wingdings 2"/>
        <family val="1"/>
        <charset val="2"/>
      </rPr>
      <t>*</t>
    </r>
  </si>
  <si>
    <t>- Diện tích nhà trong chỉ giới</t>
  </si>
  <si>
    <t>Không bồi thường theo Điều 105 Luật Đất đai 2024</t>
  </si>
  <si>
    <t xml:space="preserve">Đơn giá </t>
  </si>
  <si>
    <t>01</t>
  </si>
  <si>
    <t>06</t>
  </si>
  <si>
    <t>Thành tiền 1(đồng)</t>
  </si>
  <si>
    <t>- Diện tích trần nhựa trong chỉ giới</t>
  </si>
  <si>
    <t>Không bồi thường theo Điều 105 Luật Đất đai</t>
  </si>
  <si>
    <r>
      <t xml:space="preserve">Tôi đồng ý với phương án dự thảo chi tiết trên và đề nghị UBND xã Phú Nghĩa phê duyệt phương án bồi thường, hỗ trợ &amp; tái định cư và ban hành Quyết định thu hồi đất    </t>
    </r>
    <r>
      <rPr>
        <b/>
        <sz val="18"/>
        <color theme="1"/>
        <rFont val="Wingdings 2"/>
        <family val="1"/>
        <charset val="2"/>
      </rPr>
      <t>*</t>
    </r>
  </si>
  <si>
    <t>02</t>
  </si>
  <si>
    <t>04</t>
  </si>
  <si>
    <t>- Diện tích nhà ngoài chỉ giới</t>
  </si>
  <si>
    <t xml:space="preserve">Dự án thành phần 1.2: Bồi thường, hỗ trợ và tái định cư thực hiện GPMB trên địa bàn huyện Chương Mỹ thuộc dự án cải tạo, nâng cấp Quốc lộ 6 đoạn Ba La - Xuân Mai. 
(Địa giới hành chính xã Phú Nghĩa – Thành phố Hà Nội) </t>
  </si>
  <si>
    <t>Số Hộ</t>
  </si>
  <si>
    <t>Diện tích được cấp GCN QSDĐ (m2)</t>
  </si>
  <si>
    <t>Diện tích đất hành lang giao thông (m2)</t>
  </si>
  <si>
    <t>03</t>
  </si>
  <si>
    <t>Tổng tiền Bồi thường, hỗ trợ (đồng)</t>
  </si>
  <si>
    <t xml:space="preserve">m </t>
  </si>
  <si>
    <t>05</t>
  </si>
  <si>
    <t>- Diện tích trần nhựa ngoài chỉ giới</t>
  </si>
  <si>
    <t>09</t>
  </si>
  <si>
    <t>*</t>
  </si>
  <si>
    <t>07</t>
  </si>
  <si>
    <t xml:space="preserve">- Diện tích nhà trong chỉ giới </t>
  </si>
  <si>
    <t>Trần nhựa</t>
  </si>
  <si>
    <t>Cây Bàng</t>
  </si>
  <si>
    <t xml:space="preserve">Dự án thành phần 1.2: Bồi thường, hỗ trợ và tái định cư thực hiện GPMB trên địa bàn huyện Chương Mỹ 
thuộc dự án cải tạo, nâng cấp Quốc lộ 6 đoạn Ba La - Xuân Mai. 
(Địa giới hành chính xã Phú Nghĩa – Thành phố Hà Nội) </t>
  </si>
  <si>
    <t>DANH SÁCH KÝ NHẬN PHƯƠNG ÁN DỰ THẢO CHI TIẾT BỒI THƯỜNG, HỖ TRỢ VÀ TÁI ĐỊNH CƯ (ĐỢT 5)</t>
  </si>
  <si>
    <t>Ký nhận Giấy mời số 45/GM-UBND ngày 03/02/2026</t>
  </si>
  <si>
    <t>DANH SÁCH KÝ NHẬN GIẤY MỜI HỌP ĐỐI THOẠI VỚI 20 HỘ DÂN</t>
  </si>
  <si>
    <t>DANH SÁCH CÁC HỘ GIA ĐÌNH THAM DỰ HỌP ĐỐI THOẠI</t>
  </si>
  <si>
    <t>KÝ THAM DỰ</t>
  </si>
  <si>
    <t>(Kèm theo Thông báo số:                /TB-UBND ngày       /02/2026 của Ủy ban nhân dân xã Phú Nghĩa)</t>
  </si>
  <si>
    <t>Hà Nội, ngày      tháng  02 năm 2026</t>
  </si>
  <si>
    <t>Cây</t>
  </si>
  <si>
    <t>= S nhà</t>
  </si>
  <si>
    <t>Thôn Phố Gốt - xã Phú Nghĩa - TP Hà Nội</t>
  </si>
  <si>
    <t>= S nhà trong chỉ giới</t>
  </si>
  <si>
    <t>= S nhà ngoài chỉ giới</t>
  </si>
  <si>
    <t>Vị trí 1-Quốc Lộ 6 - Thôn Phố Gốt - xã Phú Nghĩa - TP Hà Nội</t>
  </si>
  <si>
    <t>Thôn Phố Gốt- xã Phú Nghĩa - TP Hà Nội</t>
  </si>
  <si>
    <t>Mái vẩy tôn</t>
  </si>
  <si>
    <t>a.</t>
  </si>
  <si>
    <t>b.</t>
  </si>
  <si>
    <t>=S nhà trong chỉ giới</t>
  </si>
  <si>
    <t>=S nhà ngoài chỉ giới</t>
  </si>
  <si>
    <t>=S đất trong chỉ giới</t>
  </si>
  <si>
    <t>c.</t>
  </si>
  <si>
    <t>= S tầng 2</t>
  </si>
  <si>
    <t>Giếng khoan sâu</t>
  </si>
  <si>
    <t>Cây Hoa sữa</t>
  </si>
  <si>
    <t>ĐKT&gt; 60cm</t>
  </si>
  <si>
    <t xml:space="preserve">- Diện tích nhà ngoài chỉ giới </t>
  </si>
  <si>
    <t>Sâu</t>
  </si>
  <si>
    <t xml:space="preserve">Giếng khơi xây gạch </t>
  </si>
  <si>
    <t>Hà Nội, ngày      tháng  03 năm 2026</t>
  </si>
  <si>
    <t>(Kèm theo Thông báo số:                /TB-UBND ngày       /3/2026 của Ủy ban nhân dân xã Phú Nghĩa)</t>
  </si>
  <si>
    <t>Nguyễn Vũ Mạnh - Nguyễn Thị Luân</t>
  </si>
  <si>
    <t>001090006511</t>
  </si>
  <si>
    <t>Thôn Thanh Trì - Xã Phú Nghĩa - TP Hà Nội</t>
  </si>
  <si>
    <t>23+86</t>
  </si>
  <si>
    <t>Vị trí 1-Quốc Lộ 6 - Thôn Thanh Trì-  xã Phú Nghĩa - TP Hà Nội</t>
  </si>
  <si>
    <t>3,5 x 9,96</t>
  </si>
  <si>
    <t>Mái vẩy lợp tôn khung vì kèo sắt</t>
  </si>
  <si>
    <t>4,5 x 9,96</t>
  </si>
  <si>
    <t>Sân lát gạch đỏ 30*30</t>
  </si>
  <si>
    <t>8 x 9,96</t>
  </si>
  <si>
    <t>Nhà mái Fbroximang, tường 110, cao &gt;3m trần nhựa, nền lát gạch đỏ, có khu phụ</t>
  </si>
  <si>
    <t>(7,2x5,1) +(3,01x6,08)</t>
  </si>
  <si>
    <t>((2,35+1,85)/2 x 6,08) +(7,2x5,1)</t>
  </si>
  <si>
    <t>2,06 x 2,5</t>
  </si>
  <si>
    <t>Trụ cổng xây gạch cao 2,5m</t>
  </si>
  <si>
    <t>Sân gạch đỏ trong ranh thửa đất</t>
  </si>
  <si>
    <t>= S đất trong chỉ giới - S nhà trong chỉ giới</t>
  </si>
  <si>
    <t xml:space="preserve">20cm&lt;ĐKT&lt;25cm, </t>
  </si>
  <si>
    <t>Hà Nội, ngày      tháng  3 năm 2026</t>
  </si>
  <si>
    <t>Trần Cao Giới</t>
  </si>
  <si>
    <t>Thôn Phố Gốt- Xã Phú Nghĩa - TP Hà Nội</t>
  </si>
  <si>
    <t>001062025102</t>
  </si>
  <si>
    <t>Vị trí 1-Quốc Lộ 6 - Thôn Phố Gốt-  xã Phú Nghĩa - TP Hà Nội</t>
  </si>
  <si>
    <t>8,5 x 4,19</t>
  </si>
  <si>
    <t>0,6 x 4,19</t>
  </si>
  <si>
    <t>Nhà mái tôn, tường 110 cao &gt;3m, nền gạch hoa, không có khu phụ</t>
  </si>
  <si>
    <t>4 x 4,19</t>
  </si>
  <si>
    <t>Nhà 3 tầng mái bằng BTCT, khung cột chịu lực</t>
  </si>
  <si>
    <t>9,48 x 4,19</t>
  </si>
  <si>
    <t>Tầng 1: Nhà mái bằng BTCT, có gác xép bê tông</t>
  </si>
  <si>
    <t xml:space="preserve"> = S đất trong chỉ giới - S nhà mái tôn</t>
  </si>
  <si>
    <t>Gác xép bê tông</t>
  </si>
  <si>
    <t>2,6 x 4,19</t>
  </si>
  <si>
    <t>Tầng 2: Nhà mái bằng BTCT</t>
  </si>
  <si>
    <t>=S tầng 1+ (1,6x4,19)</t>
  </si>
  <si>
    <t>=S tầng 1 trong chỉ giới+ (1,6x4,19)</t>
  </si>
  <si>
    <t>Tầng 3: Nhà mái tôn khung vì kèo sắt, tường 110 cao&gt;3m</t>
  </si>
  <si>
    <t>=S nhà tầng 2 trong chỉ giới</t>
  </si>
  <si>
    <t>=S nhà tầng 2 ngoài chỉ giới</t>
  </si>
  <si>
    <t>Sâu 15m</t>
  </si>
  <si>
    <t>(Kèm theo Thông báo số:                /TB-UBND ngày       /03/2026 của Ủy ban nhân dân xã Phú Nghĩa)</t>
  </si>
  <si>
    <t>001166020878</t>
  </si>
  <si>
    <t xml:space="preserve">Đại diện hộ bà Nguyễn Thị Hòa </t>
  </si>
  <si>
    <t>4,92 x 11,5</t>
  </si>
  <si>
    <t>4,92 x 4,5</t>
  </si>
  <si>
    <t>((7,64+6,23)x(5,3+4,92))/2</t>
  </si>
  <si>
    <t>((7,64+7,2)x4,92)/2</t>
  </si>
  <si>
    <t>Nhà 1 tầng mái lợp Fribroximang, tường 110 cao&gt;3m nền lát gạch đỏ 30*30, có trần nhựa, có khu phụ</t>
  </si>
  <si>
    <t>1,8 x 4,5</t>
  </si>
  <si>
    <t>ĐK thân&gt;45cm</t>
  </si>
  <si>
    <t>Đại diện hộ bà Nguyễn Thị Hòa</t>
  </si>
  <si>
    <t>(4,79+4)/2 x 3,05</t>
  </si>
  <si>
    <t>=S sân bê tông</t>
  </si>
  <si>
    <t>Nhà 1 tầng, tường xây gạch 110, cao &gt; 3m, nền lát gạch hoa, mái lợp tôn, có gác xép gỗ,  có khu phụ.</t>
  </si>
  <si>
    <t>= S đất - S sân bê tông</t>
  </si>
  <si>
    <t>Gác xép gỗ</t>
  </si>
  <si>
    <t>4,79 x 2,25</t>
  </si>
  <si>
    <t>Trần Đăng Định - Đỗ Thị Hạnh</t>
  </si>
  <si>
    <t>Thôn Thanh Trì - xã Phú Nghĩa - TP Hà Nội</t>
  </si>
  <si>
    <t>Thôn Phố Gót - xã Phú Nghĩa - TP Hà Nội</t>
  </si>
  <si>
    <t>6,3m x 10,42m</t>
  </si>
  <si>
    <t>0,5m x 10,42m</t>
  </si>
  <si>
    <t>Nhà 1 tầng, tường xây gạch 110; cao &gt;3m mái lợp tôn; trần nhựa; nền lát gạch đỏ; có phụ khu</t>
  </si>
  <si>
    <t>(1,6m x 5m) + (10,02m x 3,63m)</t>
  </si>
  <si>
    <t>Gác xếp gỗ</t>
  </si>
  <si>
    <t>5m x 5,23m</t>
  </si>
  <si>
    <t>Cây lộc vừng</t>
  </si>
  <si>
    <t>ĐK Thân &gt;30cm</t>
  </si>
  <si>
    <t>Cây nhãn</t>
  </si>
  <si>
    <t>ĐK Thân &gt;60cm</t>
  </si>
  <si>
    <t>Đỗ Thị Ngọc</t>
  </si>
  <si>
    <t>TDP Xuân Hà - xã Xuân Mai - TP Hà Nội</t>
  </si>
  <si>
    <t>6,3 x 9,38</t>
  </si>
  <si>
    <t>Nhà 1 tầng tường 220, cao &gt;3m, mái lợp tôn, có trần nhựa, nền lát gạch hoa, không có phụ khu</t>
  </si>
  <si>
    <t xml:space="preserve">(9,38 + 8,24)/2 x 3,6 </t>
  </si>
  <si>
    <t>Diện tích trần nhựa</t>
  </si>
  <si>
    <t>(6,64 + 8,24)/2 x 3,9</t>
  </si>
  <si>
    <t>Nhà 1 tầng tường 110 cao &lt;3m mái lợp tôn, nền lát gạch hoa có phụ khu</t>
  </si>
  <si>
    <t>(1,1 + 2,1)/2 x 3,8</t>
  </si>
  <si>
    <t xml:space="preserve">Giếng khơi xây gạch sâu </t>
  </si>
  <si>
    <t>001166010279</t>
  </si>
  <si>
    <t>001081009370</t>
  </si>
  <si>
    <t>Nguyễn Thị Vân</t>
  </si>
  <si>
    <t>001152014624</t>
  </si>
  <si>
    <t>Thôn Phố Gốt - Xã Phú Nghĩa - TP Hà Nội</t>
  </si>
  <si>
    <t>8 x 3,4</t>
  </si>
  <si>
    <t>Nhà 1 tầng,  tường 110 bổ trụ, cao &gt;3m, mái lợp tôn, nền lát gạch hoa, có phụ khu</t>
  </si>
  <si>
    <t>(3,05 + 3,4)/2 x 4,4</t>
  </si>
  <si>
    <t>Nguyễn Văn Chiến</t>
  </si>
  <si>
    <t>001050018475</t>
  </si>
  <si>
    <t>Sân gạch đỏ</t>
  </si>
  <si>
    <t>6,8 x 3,41</t>
  </si>
  <si>
    <t>(3,41 + 3,34)/2 x 7,5</t>
  </si>
  <si>
    <t>3,26 x 4,7</t>
  </si>
  <si>
    <t>sâu</t>
  </si>
  <si>
    <t>3,26 x 2,05</t>
  </si>
  <si>
    <t>3,41 x 0,5</t>
  </si>
  <si>
    <t>Diện tích nhà ngoài chỉ giới</t>
  </si>
  <si>
    <t>Nguyễn Thị Nguyên</t>
  </si>
  <si>
    <t>Thôn Đông Cựu Đồi - xã Phú Nghĩa - TP Hà Nội</t>
  </si>
  <si>
    <t>001165004448</t>
  </si>
  <si>
    <t>9 x 4,29</t>
  </si>
  <si>
    <t>1 x 4,29</t>
  </si>
  <si>
    <t xml:space="preserve">Nhà mái tôn từ 110 cao &gt;3m nền gạch đỏ, không phụ khu </t>
  </si>
  <si>
    <t>4,29 x 2,6</t>
  </si>
  <si>
    <t>Trịnh Quang Lê -  Đỗ Thị Nguyệt</t>
  </si>
  <si>
    <t>0380700144311 - 001175042864</t>
  </si>
  <si>
    <t>1,5 x 4,28</t>
  </si>
  <si>
    <t>Nhà 1 tầng mái lợp tôn, cao &gt;3m, tường 110, không có phụ khu, nền gạch đỏ</t>
  </si>
  <si>
    <t>4,28 x 1,45</t>
  </si>
  <si>
    <t>7,15 x 4,28</t>
  </si>
  <si>
    <t>Nhà 1 tầng BTCT, cao &lt;3m, tường 110, có phụ khu, nền gạch hoa</t>
  </si>
  <si>
    <t>2,99 x 2,1</t>
  </si>
  <si>
    <t xml:space="preserve">1,2 x 2,1 </t>
  </si>
  <si>
    <t>[(1,26+1,2) x 4,28]/2</t>
  </si>
  <si>
    <t>Giếng đào xây gạch</t>
  </si>
  <si>
    <t>Nguyễn Đức Tú</t>
  </si>
  <si>
    <t>001095032801</t>
  </si>
  <si>
    <t xml:space="preserve">Nhà 1 tầng BTCT, nền gạch đỏ, tường 220, không phụ khu </t>
  </si>
  <si>
    <t>8,46 x 4,42</t>
  </si>
  <si>
    <t>Nhà bán mái, lợp tôn, khung sắt</t>
  </si>
  <si>
    <t>7,9 x 4,42</t>
  </si>
  <si>
    <t>Trần tôn</t>
  </si>
  <si>
    <t xml:space="preserve">7,8 x 4,2 </t>
  </si>
  <si>
    <t>Mái vảy lợp tôn</t>
  </si>
  <si>
    <t xml:space="preserve">4,42 x 4,4 </t>
  </si>
  <si>
    <t>6 x 4,4</t>
  </si>
  <si>
    <t>Lê Văn Tâm - Bùi Thị Lan</t>
  </si>
  <si>
    <t>001059033000</t>
  </si>
  <si>
    <t>(11,5+11,79)/2 x 4,6</t>
  </si>
  <si>
    <t>(7,87+8,15)/2 x 4,6</t>
  </si>
  <si>
    <t xml:space="preserve">4,6 x 5 </t>
  </si>
  <si>
    <t>Hàng rào B40</t>
  </si>
  <si>
    <t>(4,5 x 3,1) + (2,1 x 3,1)</t>
  </si>
  <si>
    <t>Nguyễn Vũ Mạnh</t>
  </si>
  <si>
    <t>001065037043</t>
  </si>
  <si>
    <t>22,13 x 10</t>
  </si>
  <si>
    <t>22,13 x 4,1</t>
  </si>
  <si>
    <t>5,81 x 10,43</t>
  </si>
  <si>
    <t>(8,14+8,77)/2 x 5,81</t>
  </si>
  <si>
    <t>Số 3: Nhà 1 tầng mái bằng BTCT; Tường xây gạch 220 cao &gt;3m; nền gạch hoa; có phụ khu</t>
  </si>
  <si>
    <t>(4,59 x 6,91) + (3 x 4,78)</t>
  </si>
  <si>
    <t xml:space="preserve">7,2 x 6,57 </t>
  </si>
  <si>
    <t xml:space="preserve">Trần nhựa </t>
  </si>
  <si>
    <t>Cây hoa sữa</t>
  </si>
  <si>
    <t>Cây sấu</t>
  </si>
  <si>
    <t>Cây bưởi</t>
  </si>
  <si>
    <t>Dâu da xoan</t>
  </si>
  <si>
    <t>Nguyễn Bá Ước - Nguyễn Thị Xuân</t>
  </si>
  <si>
    <t>001065023600</t>
  </si>
  <si>
    <t>1087,7</t>
  </si>
  <si>
    <t>7,49 x 8,8</t>
  </si>
  <si>
    <t>7,49 x 0,8</t>
  </si>
  <si>
    <t>Số 2: Nhà 1 tầng mái lợp tôn, tường xây gạch 220 chịu lực; cao &gt;3m; nền bê tông; không có phụ khu</t>
  </si>
  <si>
    <t>S đất trong chỉ giới</t>
  </si>
  <si>
    <t>Cây bồ đề</t>
  </si>
  <si>
    <t>ĐK&gt;70cm</t>
  </si>
  <si>
    <t>Trần Trọng Hùng - Nguyễn Thị Minh</t>
  </si>
  <si>
    <t>001048000728 - 001153001127</t>
  </si>
  <si>
    <t>Thôn Chi Nê - xã Phú Nghĩa - TP Hà Nội</t>
  </si>
  <si>
    <t>7,71 x 10</t>
  </si>
  <si>
    <t>2,5 x 7,71</t>
  </si>
  <si>
    <t>7,71 x 9,05</t>
  </si>
  <si>
    <t>(3,9 x 0,47)/2</t>
  </si>
  <si>
    <t>69,78 - 0,92</t>
  </si>
  <si>
    <t>Trịnh Văn Hưởng - Nguyễn Thị Lan</t>
  </si>
  <si>
    <t>Thôn Quyết Thượng - xã Phú Nghĩa - TP Hà Nội</t>
  </si>
  <si>
    <t>00105514876</t>
  </si>
  <si>
    <t>(6,1  + 6,46)/2 x 4,55</t>
  </si>
  <si>
    <t>Sân lát gạch đỏ</t>
  </si>
  <si>
    <t>1,69 x 4,55</t>
  </si>
  <si>
    <t>Mái vảy tôn trước nhà</t>
  </si>
  <si>
    <t>4,55 x 5</t>
  </si>
  <si>
    <t xml:space="preserve">6,5 x 4,55 </t>
  </si>
  <si>
    <t xml:space="preserve">Giếng đào </t>
  </si>
  <si>
    <t>Nguyễn Ngọc Dũng</t>
  </si>
  <si>
    <t>001003024954</t>
  </si>
  <si>
    <t>4,43 x 8,8</t>
  </si>
  <si>
    <t>4,43 x 3,1</t>
  </si>
  <si>
    <t>4,43 x 11,2</t>
  </si>
  <si>
    <t>Lưu Công Sơn - Nguyễn Thị Khanh</t>
  </si>
  <si>
    <t>Thôn Xóm Đông - xã Phú Nghĩa- TP Hà Nội</t>
  </si>
  <si>
    <t>001142006315</t>
  </si>
  <si>
    <t>(68,55 -35,8) x 4 tầng</t>
  </si>
  <si>
    <t>Vũ Viết Chinh - Nguyễn Thị Phương</t>
  </si>
  <si>
    <t>001067020168</t>
  </si>
  <si>
    <t>4,47 x 9</t>
  </si>
  <si>
    <t>4,47 x 3,5</t>
  </si>
  <si>
    <t>Nhà 1 tầng, tường xây gạch  110, cao &gt;3m, mái lợp tôn, nền lát gạch hoa, có gác xép, không có khu phụ</t>
  </si>
  <si>
    <t>13,47 x 4,47</t>
  </si>
  <si>
    <t>= S đất trong chỉ giới</t>
  </si>
  <si>
    <t>3,2 x 4,47</t>
  </si>
  <si>
    <t>Nguyễn Thị Phương Mai</t>
  </si>
  <si>
    <t>00158025860</t>
  </si>
  <si>
    <t>Nhà mái tôn, tường 110, cao &gt;3m, nền gạch hoa, có phụ khu</t>
  </si>
  <si>
    <t>4,35 x 18,66</t>
  </si>
  <si>
    <t>3 x 4,35</t>
  </si>
  <si>
    <t>Gác xếp bê tông</t>
  </si>
  <si>
    <t>Mái tôn khung và hèo sắt</t>
  </si>
  <si>
    <t>3,7 x 4,35</t>
  </si>
  <si>
    <t>9 x 4,35</t>
  </si>
  <si>
    <t>NHÀ SỐ 1</t>
  </si>
  <si>
    <t>Nhà tạm mái lợp tôn; Tường xây gạch 110 cao &lt;3m nền gạch hoa; không có phụ khu</t>
  </si>
  <si>
    <t>= S đất trong chỉ giới - S nhà 1 tầng</t>
  </si>
  <si>
    <t>Hà Nội, ngày      tháng 3 năm 2026</t>
  </si>
  <si>
    <t>0,9 x 9,38</t>
  </si>
  <si>
    <t xml:space="preserve"> = S nhà 1 tầng</t>
  </si>
  <si>
    <t xml:space="preserve"> - Diện tích trần nhựa</t>
  </si>
  <si>
    <t>Nhà 2 tầng mái bằng BTCT</t>
  </si>
  <si>
    <t>Tầng 1: Nhà 1 tầng mái bằng BTCT, tường gạch 220 cao &gt;3m, nền lát gạch hoa mái lợp tôn, có trần nhựa, không có phụ khu</t>
  </si>
  <si>
    <t>Tầng 2: Nhà 1 tầng, tường 220 cao&gt;3m, nền gạch hoa, mái lợp tôn, có trần nhựa, không có khu phụ</t>
  </si>
  <si>
    <t>= S tầng 1</t>
  </si>
  <si>
    <t xml:space="preserve"> = S tầng 2</t>
  </si>
  <si>
    <t>= S đất</t>
  </si>
  <si>
    <t>Nhà 1 tầng mái bằng BTCT, tường 220 cao &gt;3m, nền lát gạch hoa , trần nhựa có phụ khụ</t>
  </si>
  <si>
    <t>Gác xép BTCT</t>
  </si>
  <si>
    <t>Mái vảy lợp Fribroximang</t>
  </si>
  <si>
    <t>Bùi Văn Hồng</t>
  </si>
  <si>
    <t>Tổ dân phố Đình Tổ - xã Quốc Oai - TP Hà Nội</t>
  </si>
  <si>
    <t>001060010502</t>
  </si>
  <si>
    <t>4,11 x 7,31</t>
  </si>
  <si>
    <t>Sân bê tông (1)</t>
  </si>
  <si>
    <t>Sân bê tông (2)</t>
  </si>
  <si>
    <t>(4,11+4,28)/2 x 3,44</t>
  </si>
  <si>
    <t xml:space="preserve">Nhà 1 tầng, cao &gt;3m; mái lợp tôn; nền bê tông, tường xây gach 110 chịu lực, không có phụ khụ </t>
  </si>
  <si>
    <t>=S đất -S bê tông(2)</t>
  </si>
  <si>
    <t xml:space="preserve"> - Diện tích nhà ngoài chỉ giới</t>
  </si>
  <si>
    <t>= S đất ngoài chỉ giới</t>
  </si>
  <si>
    <t>= S nhà - S nhà ngoài chỉ giới</t>
  </si>
  <si>
    <t>Sâu 12m</t>
  </si>
  <si>
    <t>= S đất trong chỉ giới - S nhà mái tôn</t>
  </si>
  <si>
    <t xml:space="preserve"> - Diện tích nhà trong chỉ giới</t>
  </si>
  <si>
    <t>Nhà 1 tầng mái bằng BTCT từ 220 chịu lực</t>
  </si>
  <si>
    <t xml:space="preserve">= S nhà </t>
  </si>
  <si>
    <t>- Gác xép gỗ</t>
  </si>
  <si>
    <t>- Mái tôn trên gác xép</t>
  </si>
  <si>
    <t xml:space="preserve">Nhà 1 tầng  BTCT, tường 220 chịu lực, cao &gt;3m, nền gạch hoa, có gác xép, mái tôn trên gác xép.     </t>
  </si>
  <si>
    <t xml:space="preserve"> = S gác xép gỗ</t>
  </si>
  <si>
    <t>S nhà - 2,52</t>
  </si>
  <si>
    <t>Cây Ngô đồng</t>
  </si>
  <si>
    <t>Thôn Đông - xã Phú Nghĩa - TP Hà Nội</t>
  </si>
  <si>
    <t>Vị trị 1 - Thôn Phố Gốt- xã Phú Nghĩa - TP Hà Nội</t>
  </si>
  <si>
    <t>Nhà 1 tầng mái bằng BTCT tường 220, cao &gt;m không có phụ khu</t>
  </si>
  <si>
    <t>Nhà tạm, tường xây gạch 110; cao &lt;3m; mái lợp tôn; nền gạch hoa; không có phụ khu</t>
  </si>
  <si>
    <t>= S nhà - S nhà trong chỉ giới</t>
  </si>
  <si>
    <t>- Mái tôn chống nóng</t>
  </si>
  <si>
    <t>Nhà 1 tầng, lợp ngói, trần nhựa; tường xây gạch 220; cao &gt;3m; nền gạch hoa; có phụ khu</t>
  </si>
  <si>
    <t xml:space="preserve">- Trần nhựa </t>
  </si>
  <si>
    <t>ĐKT &gt; 60 cm</t>
  </si>
  <si>
    <t>ĐKT&gt; 35 cm, cao &gt;3m</t>
  </si>
  <si>
    <t>ĐKT&gt; 70 cm, cao &gt;10m</t>
  </si>
  <si>
    <t>ĐKT&gt; 30 cm, cao &gt;6m</t>
  </si>
  <si>
    <t>ĐKT&gt; 60 cm</t>
  </si>
  <si>
    <t>(14,87 + 4,49 + 11,58 + 134,67)</t>
  </si>
  <si>
    <t>Nhà 1 tầng mái lợp Friboximang, trần nhựa, tường xây gạch 110; cao &gt;3m; nền bê tông; có phụ khu</t>
  </si>
  <si>
    <t>Nhà 1 tầng, mái Fribroximang, cao &gt;3m, có mái tôn chống nóng, không phụ khu</t>
  </si>
  <si>
    <t xml:space="preserve">- Mái tôn chống nóng </t>
  </si>
  <si>
    <t xml:space="preserve">Nhà 1 tầng, mái lợp tôn proximang, trần nhựa, tường xây gạch 220, cao &gt;3m, không có phụ khu, nền lát gạch hoa                            </t>
  </si>
  <si>
    <t>- Ông Lưu Công Sơn và bà Nguyễn Thị Khanh được UBND huyện Chương Mỹ cấp giấy chứng nhận quyền sử dụng đất tại thửa đất số 245, tờ bản đồ số 38, số phát hành BL208678, số vào sổ cấp giấy chứng nhận quyền sử dụng đất 00582, với diện tích 105,0m2 cấp ngày 08/10/2012. Địa chỉ thửa đất: Thôn Phố Gốt, xã Phú Nghĩa, thành phố Hà Nội. Mục đích sử dụng:  đất ở tại nông thôn.
- Tổng diện tích sử dụng 161,2m2 tăng 56,2m2 so với giấy chứng nhận quyền sử dụng đất đã cấp. Đối chiếu với các cạnh thửa đất giữa Bản đồ GPMB; Giấy chứng nhận quyền sử dụng đất được cấp của hộ, xác định tăng 56,2m2 về phía Bắc đường Quốc lộ 6.  
- Căn cứ Bản đồ phục vụ công tác GPMB; Nghị định số 203-HĐBT ngày 21/12/1982 của Hội đồng Bộ trưởng về việc ban hành điều lệ bảo vệ đường bộ; Giấy chứng nhận quyền sử dụng đất của ông Lưu Công Sơn và bà Nguyễn Thị Khanh. Phòng Kinh tế xác định diện tích thu hồi 46,2m2 do ông Lưu Công Sơn và bà Nguyễn Thị Khanh sử dụng là đất giao thông Quốc lộ 6 (DGT).</t>
  </si>
  <si>
    <t>4,52 x 4,9</t>
  </si>
  <si>
    <t>4,52 x 2,7</t>
  </si>
  <si>
    <t>Sân gạch đất nung đỏ 30*30</t>
  </si>
  <si>
    <t xml:space="preserve">Nhà 1 tầng, tường 110 bổ trụ, cao &gt;3m , nền gạch đỏ 40*40, mái lợp tôn, có trần nhựa, không có phụ khụ                          </t>
  </si>
  <si>
    <t>1,2 x 4,52</t>
  </si>
  <si>
    <t>1,42 x 4,52</t>
  </si>
  <si>
    <t>- Ban công BTCT</t>
  </si>
  <si>
    <t>- Diện tích trần nhựa</t>
  </si>
  <si>
    <t>Nhà 1 tầng mái bằng BTCT, tường 220 cao&gt;3m nền gạch hoa, không có khu phụ</t>
  </si>
  <si>
    <t>7,88 x 4,52</t>
  </si>
  <si>
    <t>(7,66+7,53)/2 x 4,52</t>
  </si>
  <si>
    <t>Sâu 13,5</t>
  </si>
  <si>
    <t>- Diện tích gác xép gỗ trong chỉ giới</t>
  </si>
  <si>
    <t>(1,7+1,53)/2x4,35</t>
  </si>
  <si>
    <t>Cây Vú sữa</t>
  </si>
  <si>
    <t>45cm&lt;ĐKT&lt;50cm</t>
  </si>
  <si>
    <t>Trần Thị Út - Nguyễn Chí Lại</t>
  </si>
  <si>
    <t>001156010048</t>
  </si>
  <si>
    <t xml:space="preserve">4,65 x 9,3 </t>
  </si>
  <si>
    <t>Sân gạch đất nung</t>
  </si>
  <si>
    <t>4,65 x2,78</t>
  </si>
  <si>
    <t>Trụ cổng xây gạch</t>
  </si>
  <si>
    <r>
      <t>m</t>
    </r>
    <r>
      <rPr>
        <vertAlign val="superscript"/>
        <sz val="13"/>
        <color theme="1"/>
        <rFont val="Times New Roman"/>
        <family val="1"/>
      </rPr>
      <t>3</t>
    </r>
    <r>
      <rPr>
        <sz val="13"/>
        <color theme="1"/>
        <rFont val="Times New Roman"/>
        <family val="1"/>
      </rPr>
      <t/>
    </r>
  </si>
  <si>
    <t>(0,35x0,45x2,55)x2</t>
  </si>
  <si>
    <t>Nhà 3 tầng, khung BTCT</t>
  </si>
  <si>
    <t xml:space="preserve"> Tầng 1: Nhà khung BTCT, tường 220 cao &gt;3m, nền gạch hoa, có khu phụ</t>
  </si>
  <si>
    <t>4,65 x18,73</t>
  </si>
  <si>
    <t>(7,93+8,06)/2 x 4,65</t>
  </si>
  <si>
    <t xml:space="preserve"> Tầng 2: Nhà khung BTCT, tường 220 cao &gt;3m, nền gạch hoa, có khu phụ</t>
  </si>
  <si>
    <t>= S tầng 1+ (1,2x4,65)</t>
  </si>
  <si>
    <t>= S trong chỉ giói tầng tầng 1 + (1,2x4,65)</t>
  </si>
  <si>
    <t xml:space="preserve"> Tầng 3: Nhà  mái lợp tôn, tường 110 cao &gt;3m, nền gạch hoa, không có khu phụ</t>
  </si>
  <si>
    <t>(4,65 x 7)+(4,65x1,2)</t>
  </si>
  <si>
    <t xml:space="preserve"> Tầng 3: Nhà khung BTCT, tường 220, cao &gt;3m có khu phụ nền gạch hoa</t>
  </si>
  <si>
    <t>4,65x 11,73</t>
  </si>
  <si>
    <t>= S ngoài chỉ giới tầng 2</t>
  </si>
  <si>
    <t>Nguyễn Đình Khánh</t>
  </si>
  <si>
    <t>Thôn Trung Cao - Xã Phú Nghĩa - TP Hà Nội</t>
  </si>
  <si>
    <t>001095029142</t>
  </si>
  <si>
    <t>9,6 x 3,95</t>
  </si>
  <si>
    <t>2 x 3,95</t>
  </si>
  <si>
    <t>10,5 x 3,95</t>
  </si>
  <si>
    <t>(10,39+9,79)/2 x 3,95</t>
  </si>
  <si>
    <t>Nhà 1 tầng, tường xây gạch  110, cao &gt;3m, mái lợp tôn, có trần nhựa, nền gạch hoa, có khu phụ</t>
  </si>
  <si>
    <t>Diện tích trần nhựa ngoài chỉ giới</t>
  </si>
  <si>
    <t>Cây Sanh</t>
  </si>
  <si>
    <t>ĐK thân&gt;60cm</t>
  </si>
  <si>
    <t>Nguyễn Thị Mến</t>
  </si>
  <si>
    <t>0011155017845</t>
  </si>
  <si>
    <t>1 x 5,51</t>
  </si>
  <si>
    <t>5,3 x 5,51</t>
  </si>
  <si>
    <t>2,5 x 5,51</t>
  </si>
  <si>
    <t>Nhà 1 tầng mái tôn, tường xây gạch  110, cao &gt;3m, nền gạch hoa, không có khu phụ</t>
  </si>
  <si>
    <t>= S đất trong chỉ giới +(3,48x8,46)</t>
  </si>
  <si>
    <t>Thôn Đồi 1- Xã Phú Nghĩa - TP Hà Nội</t>
  </si>
  <si>
    <t>001089015139</t>
  </si>
  <si>
    <t>Nhà 1 tầng mái lợp tôn, tường 110 chịu lực, cao &gt;3m, nền gạch hoa, không có phụ khu</t>
  </si>
  <si>
    <t>Nguyễn Ngọc Dũng - Nguyễn Thị Lan</t>
  </si>
  <si>
    <t>001063024954</t>
  </si>
  <si>
    <t>4,63 x 10</t>
  </si>
  <si>
    <t>4,63 x 2</t>
  </si>
  <si>
    <t>Nhà 1 tầng mái lợp tôn, trần nhựa, tường 220, cao &gt;3m, nền gạch hoa, có phụ khu</t>
  </si>
  <si>
    <t>17,44 x 4,63</t>
  </si>
  <si>
    <t>Trần nhựa trong chỉ giới</t>
  </si>
  <si>
    <r>
      <t>m</t>
    </r>
    <r>
      <rPr>
        <sz val="13"/>
        <color theme="1"/>
        <rFont val="Times New Roman"/>
        <family val="1"/>
      </rPr>
      <t xml:space="preserve"> </t>
    </r>
  </si>
  <si>
    <t>Sâu 11m</t>
  </si>
  <si>
    <t>00118502051(Ninh); 001089034143 (Bình); 001094024392 (Biên)</t>
  </si>
  <si>
    <t>08</t>
  </si>
  <si>
    <t>1,4 x 1</t>
  </si>
  <si>
    <t>6,6 x 15,98</t>
  </si>
  <si>
    <t>Tường xây gạch chỉ 110</t>
  </si>
  <si>
    <t>2,5 x 15,98</t>
  </si>
  <si>
    <t>Vách tôn</t>
  </si>
  <si>
    <t>(1,6 +2,8) x 2</t>
  </si>
  <si>
    <t>Nhà 1 tầng mái lợp Fribroximang, tường 110, cao &gt;3m, nền gạch đỏ, có phụ khu</t>
  </si>
  <si>
    <t>Nhà 1 tầng, tường 110 cao &gt;3m mái lợp tôn, trần nhựa, nền lát gạch đỏ(30*30), không có khu phụ.</t>
  </si>
  <si>
    <t>(7,1+6,97)/2 x 4,7</t>
  </si>
  <si>
    <t>Sâu 7,5m</t>
  </si>
  <si>
    <t>Thôn Đông - Xã Phú Nghĩa - TP Hà Nội</t>
  </si>
  <si>
    <t>Thôn Đông Cựu Đồi - Xã Phú Nghĩa - TP Hà Nội</t>
  </si>
  <si>
    <t>Nguyễn Văn Đẩu - Hồ Thị Bích</t>
  </si>
  <si>
    <t>Thôn Yên Kiện Đồi - Xã Phú Nghĩa - TP Hà Nội</t>
  </si>
  <si>
    <t>001075024386</t>
  </si>
  <si>
    <t>- Thửa đất của ông Nguyễn Văn Đẩu và bà Hồ Thị Bích được UBND huyện Chương Mỹ cấp giấy chứng nhận QSD đất số phát hành AP 458905 ngày 19/9/2009, tại thửa đất số 162B, tờ bản đồ số 39, diện tích 103,0 m2 Đất ở, thửa đất cách tim đường Quốc lộ 6 là 28,0 m. Tổng diện tích hiện trạng sử dụng là 240,5 m2, tăng 137,5 m2 so với Giấy chứng nhận QSD đất đã cấp. Đối chiếu kích thước các cạnh thửa đất giữa Bản đồ GPMB và giấy chứng nhận QSD đất được cấp của ông Nguyễn Văn Đẩu và bà Hồ Thị Bích xác định diện tích tăng 137,5 m2  về phía Nam đường Quốc lộ 6.
- Căn cứ Bản đồ phục vụ công tác giải phóng mặt bằng, Nghị định số 203-HĐBT ngày 21/12/1982 của Hội đồng Bộ trưởng và Giấy chứng nhận quyền sử dụng đất số AP 458905. Phòng Kinh tế xác định diện tích thu hồi là 103,2 m2 ông Nguyễn Văn Đẩu và bà Hồ Thị Bích sử dụng là đất giao thông đường Quốc lộ 6 (DGT).</t>
  </si>
  <si>
    <t>(3,6+4,5)x8,8</t>
  </si>
  <si>
    <t>4,5x8,8</t>
  </si>
  <si>
    <t>Nhà 1 tầng mái lợp tôn, tường 110 bổ trụ, cao &gt;3m, nền gạch Ceramic, không có phụ khu</t>
  </si>
  <si>
    <t>7,9 x 4,4</t>
  </si>
  <si>
    <t>(6,18+6,10)/2 x 4,4</t>
  </si>
  <si>
    <t>Nhà 1 tầng, mái tôn, tường 110 bổ trụ cao &gt;3m mái lợp tôn, trần nhựa, nền lát gạch ceramic, không có khu phụ.</t>
  </si>
  <si>
    <t>(6,10+6,02)/2 x 4,4</t>
  </si>
  <si>
    <t>Sâu 9m</t>
  </si>
  <si>
    <t>Nguyễn Văn Sang - Cấn Thị Hồng</t>
  </si>
  <si>
    <t>001080023112</t>
  </si>
  <si>
    <t>- Thửa đất của hộ ông Nguyễn Văn Sang và bà Cấn Thị Hồng được UBND huyện Chương Mỹ cấp giấy chứng nhận QSD đất số phát hành BD 765822 ngày 09/02/2010, tại thửa đất số 270, tờ bản đồ số 39, diện tích 102,0 m2 Đất ở, thửa đất cách tim đường Quốc lộ 6 là 28,0 m. 
- Tổng diện tích hiện trạng sử dụng là 239,1 m2, tăng 137,1 m2 so với Giấy chứng nhận QSD đất đã cấp. Đối chiếu kích thước các cạnh thửa đất giữa Bản đồ GPMB và giấy chứng nhận QSD đất được cấp của hộ ông Nguyễn Văn Sang và bà Cấn Thị Hồng xác định diện tích tăng 137,1 m2 ,trong đó: tăng 4,9 m2 về phía Bắc, tăng 132,2 m2 về phía Nam giáp đường Quốc lộ 6. 
- Căn cứ Bản đồ phục vụ công tác giải phóng mặt bằng, Nghị định số 203-HĐBT ngày 21/12/1982 của Hội đồng Bộ trưởng và Giấy chứng nhận quyền sử dụng đất số BD 765822. Phòng Kinh tế xác định diện tích thu hồi là 102,6 m2 hộ ông Nguyễn Văn Sang và bà Cấn Thị Hồng sử dụng là đất giao thông đường Quốc lộ 6 (DGT).</t>
  </si>
  <si>
    <t>Nhà 1 tầng mái lợp tôn, có trần nhựa, tường 110 bổ trụ, cao &gt;3m, nền gạch Ceramic, không có phụ khu</t>
  </si>
  <si>
    <t>4 x 11,14</t>
  </si>
  <si>
    <t>= S đất trong chỉ giới- S nhà</t>
  </si>
  <si>
    <t>Trần Huy Chuyển - Trần Thị Vang</t>
  </si>
  <si>
    <t>Thôn Yên Kiện Đồi - xã Phú Nghĩa - TP Hà Nội</t>
  </si>
  <si>
    <t>Thôn Lương Sơn - xã Phú Nghĩa - TP Hà Nội</t>
  </si>
  <si>
    <t>001058021024</t>
  </si>
  <si>
    <t>= Diện tích đất trong chỉ giới</t>
  </si>
  <si>
    <t>Quốc Lộ 6 - Thôn Yên Kiện Đồi - Xã Phú Nghĩa - TP Hà Nội</t>
  </si>
  <si>
    <t>8 x 6,02</t>
  </si>
  <si>
    <t>3 x 6,02</t>
  </si>
  <si>
    <t>Nhà 1 tầng tường xây gạch chỉ 110 bổ trụ, cao &gt;3m, mái lợp tôn, nền bê tông, có khu phụ</t>
  </si>
  <si>
    <t>Cây Xoài</t>
  </si>
  <si>
    <t>ĐKT&gt;60cm, cao&gt;3m</t>
  </si>
  <si>
    <t>Quốc lộ 6 - Thôn Yên Kiện Đồi - Xã Phú Nghĩa - TP Hà Nội</t>
  </si>
  <si>
    <t xml:space="preserve">Trần Huy Chuyển </t>
  </si>
  <si>
    <t>Nhà 1 tầng mái bằng BTCT, tường 220, cao &lt;3m, mái lợp tôn, nền lát gạch Granito, không có khu phụ</t>
  </si>
  <si>
    <t>(4,93+4,78)/2 x 9,5</t>
  </si>
  <si>
    <t>(1,15+3,2)/2 x 4,93</t>
  </si>
  <si>
    <t>Sân lát gạch đất nung</t>
  </si>
  <si>
    <t>Hàng rào hoa sắt</t>
  </si>
  <si>
    <t>Tường rào xây gạch chỉ 110</t>
  </si>
  <si>
    <t>Số 49 ngõ 15 An Dương Vương - phường Tây Hồ - TP Hà Nội</t>
  </si>
  <si>
    <t>Quốc lộ 6 - Thôn Yên Kiện Đồi- Xã Phú Nghĩa - TP Hà Nội</t>
  </si>
  <si>
    <t>Nhà 1 tầng, tường xây gạch 220, cao &gt;3m, mái lợp tôn, nền lát gạch Granito, có khu phụ</t>
  </si>
  <si>
    <t>4,19 x 2,8</t>
  </si>
  <si>
    <t>4,19 x 3,2</t>
  </si>
  <si>
    <t>4,19 x 10,8</t>
  </si>
  <si>
    <t>=S đất trong chỉ giới - S nhà trong chỉ giới</t>
  </si>
  <si>
    <t>4 x 4,78</t>
  </si>
  <si>
    <t>=S nhà</t>
  </si>
  <si>
    <t>17 x 0,9</t>
  </si>
  <si>
    <t>1,7 x 2,7</t>
  </si>
  <si>
    <t>Nguyễn Thị Sinh</t>
  </si>
  <si>
    <t>001168051155</t>
  </si>
  <si>
    <t>S đất trong chỉ giới-(31,73+29,02+6,08)</t>
  </si>
  <si>
    <t>Lê Tiến Nguyên - Dương Thị Bích Thuỷ</t>
  </si>
  <si>
    <t>Nguyễn Đắc Vũ (Đỗ Thị Lan)</t>
  </si>
  <si>
    <t>(2x3) +(6,4x11,28)</t>
  </si>
  <si>
    <t>ĐSH: Đỗ Thị Ninh - Đỗ Huy Bình - Đô Huy Biên (Đại diện cho Ông Đỗ Huy Thành đã chết)</t>
  </si>
  <si>
    <t>Quốc lộ 6 - Thôn Phố Gốt - Xã Phú Nghĩa - TP Hà Nội</t>
  </si>
  <si>
    <t>- Tại thửa số 23 tờ bản đồ số 05: Ông Nguyễn Vũ Mạnh nhận tặng cho quyền sử dụng đất được UBND huyện Chương Mỹ cấp giấy chứng nhận quyền sử dụng đất tại thửa đất số 523, tờ bản đồ số 38, số phát hành BP865741, số vào sổ cấp GCN QSDĐ 00966, với diện tích 261,5m2 cấp ngày 19/05/2014. Địa chỉ thửa đất: Thôn Thanh Trì, xã Phú Nghĩa, thành phố Hà Nội. Mục đích sử dụng: 120m2 đất ở, 141,5m2 đất trồng cây lâu năm đến tháng 10/2043.
- Tại thửa số 86 tờ bản đồ số 05: Hộ bà Nguyễn Thị Luân được UBND huyện Chương Mỹ cấp tại thửa đất số 68 tờ bản đồ số 38, số phát hành BP865742, số vào sổ cấp GCN QSDĐ 00965, với diện tích 133,2m2 cấp ngày 19/05/2014. Địa chỉ thửa đất: Thôn Thanh Trì, xã Phú Nghĩa, thành phố Hà Nội. Mục đích sử dụng: 60,0m2 đất ở, 73,2m2 đất trồng cây lâu năm đến tháng 10/2043. Tổng diện tích hiện trạng 491,8m2 tăng 97,1m2 so với giấy chứng nhận quyền sử dụng đất của  ông Nguyễn Vũ Mạnh và giấy chứng nhận quyền sử dụng đất của hộ bà Nguyễn Thị Luân đã được cấp.
- Đối chiếu với các cạnh thửa đất giữa Bản đồ GPMB; Giấy chứng nhận quyền sử dụng đất được cấp của hộ, xác định tăng 97,1m2 về phía Nam đường Quốc lộ 6. 
- Căn cứ Bản đồ phục vụ công tác GPMB; Nghị định số 203-HĐBT ngày 21/12/1982 của Hội đồng Bộ trưởng về việc ban hành điều lệ bảo vệ đường bộ, Giấy chứng nhận quyền sử dụng đất của ông Nguyễn Vũ Mạnh và giấy chứng nhận quyền sử dụng đất của hộ bà Nguyễn Thị Luân. Phòng Kinh tế xác định diện tích thu hồi 70,5m2 đất do ông Nguyễn Vũ Mạnh và hộ bà Nguyễn Thị Luân sử dụng là đất giao thông đường Quốc lộ 6 (DGT).</t>
  </si>
  <si>
    <t>Đất giao thông đường Quốc lộ 6 (DGT)</t>
  </si>
  <si>
    <t xml:space="preserve">- Ông Trần Cao Giới được UBND xã Đông Sơn (cũ) giao đất làm dịch vụ năm 1991, với tổng diện tích 32,0m2; Biên bản giao làm dịch vụ ngày 30/11/1991 mang tên ông Nguyễn Văn Giới ngoài ra không có giấy tờ gì khác, ông Giới sử dụng  đến nay.  
- Tổng diện tích hiện trạng 55,5m2 tăng 23,5m2 so với diện tích được so với diện tích đất được giao.Đối chiếu với các cạnh thửa đất giữa Bản đồ GPMB; Biên bản giao đất dịch vụ của ông Trần Cao Giới, xác định tăng 23,5m2, trong đó: Tăng 7,5m2 về phía Bắc, tăng 16,0m2 về phía Nam đường Quốc lộ 6. 
- UBND xã Đông Sơn (cũ) giao đất dịch vụ vào đất hành lang giao thông quy định tại Nghị định số 203-HĐBT ngày 21/12/1982 của Hội đồng Bộ trưởng về việc ban hành điều lệ bảo vệ đường bộ có hiệu lực thi hành quy định hành lang là 28m (tính từ tim đường ra mỗi bên), do vậy diện tích thu hồi 46,1m2 là đất hành lang giao thông. (Trong đó: 30,1m2 đất dịch vụ nằm trong hành lang giao thông, 16,0m2 đất hành lang giao thông đường Quốc lộ 6). Không đủ điều kiện cấp giấy chứng nhận quyền sử dụng đất theo quy định của Luật Đất đai năm 2024. Phòng Kinh tế xác định diện tích thu hồi 46,1m2 đất Ông Trần Cao Giới sử dụng là đất giao thông đường Quốc lộ 6 (DGT).   </t>
  </si>
  <si>
    <t>Đất  giao thông đường Quốc lộ 6 (DGT)</t>
  </si>
  <si>
    <t>- Hộ bà Nguyễn Thị Hòa được UBND huyện Chương Mỹ cấp giấy chứng nhận quyền sử dụng đất thửa đất số 61, tờ bản đồ số 38, số phát hành BD 765079, số vào sổ cấp GCN: 00228 với diện tích 217,0m2, cấp ngày 09/02/2010. Địa chỉ thửa đất: Thôn Phố Gốt, xã Phú Nghĩa, thành phố Hà Nội. Mục đích sử dụng; đất ở tại dân cư, thời hạn sử dụng lâu dài. 
- Tổng diện tích 265,7m2 tăng 48,7m2 so với diện tích được cấp giấy chứng nhận quyền sử dụng đất.Đối chiếu với các cạnh thửa đất giữa Bản đồ GPMB; Giấy chứng nhận quyền sử dụng đất được cấp của hộ, xác định tăng 48,7m2 về phía Nam đường Quốc lộ 6.  
- Căn cứ Bản đồ phục vụ công tác GPMB; Nghị định số 203-HĐBT ngày 21/12/1982 của Hội đồng Bộ trưởng về việc ban hành điều lệ bảo vệ đường bộ, Giấy chứng nhận quyền sử dụng đất của hộ bà Nguyễn Thị Hòa. Phòng Kinh tế xác định diện tích thu hồi 37,3 m2 do hộ bà Nguyễn Thị Hòa sử dụng là đất giao thông đường Quốc lộ 6 (DGT).</t>
  </si>
  <si>
    <t xml:space="preserve">- Hộ bà Nguyễn Thị Hòa được UBND xã Đông Sơn (cũ) giao đất làm dịch vụ năm 1991, diện tích 16,0m2, UBND xã Đông Sơn (cũ) ký xác nhận, Biên bản giao làm dịch vụ ngày 30/11/1991, ngoài ra không có giấy tờ gì khác hộ bà Nguyễn Thị Hòa sử dụng đến nay. 
 - Tổng diện tích hiện trạng 33,5m2 tăng 17,5m2 so với diện tích đất dịch vụ  được giao.Đối chiếu với các cạnh thửa đất giữa Bản đồ GPMB; Biên bản giao đất dịch vụ của hộ, xác định tăng 17,5m2 về phía Bắc đường Quốc lộ 6.  
- Căn cứ Nghị định số 203-HĐBT ngày 21/12/1982 của Hội đồng Bộ trưởng về việc ban hành điều lệ bảo vệ đường bộ có hiệu lực thi hành quy định hành lang là 28m (tính từ tim đường ra mỗi bên), do vậy diện tích thu hồi 33,5m2 là đất hành lang giao thông đường Quốc lộ 6. (Trong đó: 16,0m2 cấp là đất dịch vụ, 17,5m2 đất hành lang giao thông đường Quốc lộ 6). Không đủ điều kiện cấp giấy chứng nhận quyền sử dụng đất theo quy định của Luật Đất đai năm 2024. Phòng Kinh tế xác định diện tích thu hồi 33,5m2 đất do hộ bà Nguyễn Thị Hòa sử dụng là đất  giao thông đường Quốc lộ 6 (DGT).   </t>
  </si>
  <si>
    <t xml:space="preserve">- Bà Đỗ Thị Nga được UBND xã Đông Sơn (cũ) giao đất làm nhà ở năm 2007, với tổng diện tích 39,0m2, UBND xã Đông Sơn (cũ) ký xác nhận ngày 01/07/2007 tại thửa 105 tờ bản đồ số 38. Đến ngày 15/9/2009 bà Đỗ Thị Nga chuyển nhượng toàn bộ diện tích đất cho ông Trần Đăng Định và bà Đỗ Thị Hạnh (giấy viết tay) ngoài ra không có giấy tờ gì khác, ông Trần Đăng Định và bà Đỗ Thị Hạnh sử dụng đến nay.  
- Tổng diện tích 92,6m2 tăng 53,6m2 so với diện tích được so với biên bản xác nhận kích thớc thửa đất. Đối chiếu với các cạnh thửa đất giữa Bản đồ GPMB và biên bản xác nhận kích thước thửa đất được cấp của hộ, xác định tăng 53,6m2, Trong đó tăng 13,6m2 về phía Bắc giáp đường Quốc lộ 6, tăng 40,0m2 về phía Nam giáp hộ ông Nguyễn Mạnh Dũng.  
- UBND xã Đông Sơn (cũ) cấp đất ở vào đất hành lang giao thông quy định tại Nghị định số 203-HĐBT ngày 21/12/1982 của Hội đồng Bộ trưởng về việc ban hành điều lệ bảo vệ đường bộ có hiệu lực thi hành quy định hành lang là 28m (tính từ tim đường ra mỗi bên), do vậy diện tích thu hồi 92,6m2 (Trong đó: 39,0m2 được  giao là đất ở nằm trong hành lang giao thông, 53,6m2 là đất hành lang giao thông đường Quốc lộ 6). Không đủ điều kiện cấp giấy chứng nhận quyền sử dụng đất theo quy định của Luật Đất đai năm 2024.
Phòng Kinh tế xác định diện tích thu hồi 92,6m2 đất ông Trần Đăng Định và bà Đỗ Thị Hạnh sử dụng là đất giao thông đường Quốc lộ 6 (DGT).   </t>
  </si>
  <si>
    <t>- Bà Đỗ Thị Ngọc được UBND huyện Chương Mỹ cấp giấy chứng nhận quyền sử dụng đất tại thửa đất số 57A, tờ bản đồ số 38, số phát hành BB 337896, số vào sổ cấp GCN QSDĐ 00149, với diện tích 42,0m2 cấp ngày 08/09/2010. Địa chỉ thửa đất: Thôn Phố Gốt, xã Phú Nghĩa, thành phố Hà Nội. Mục đích sử dụng: 42,0m2 đất ở tại nông thôn. Tổng diện tích sử dụng 161,2m2 tăng 119,2m2 so với giấy chứng nhận quyền sử dụng đất của bà Đỗ Thị Ngọc đã được cấp.
- Đối chiếu với các cạnh thửa đất giữa Bản đồ GPMB; Giấy chứng nhận quyền sử dụng đất được cấp của bà Đỗ Thị Ngọc, xác định tăng 119,2m2 về phía Nam đường Quốc lộ 6.  
- Căn cứ Bản đồ phục vụ công tác GPMB, Nghị định số 203-HĐBT ngày 21/12/1982 của Hội đồng Bộ trưởng về việc ban hành điều lệ bảo vệ đường bộ, Giấy chứng nhận quyền sử dụng đất của bà Đỗ Thị Ngọc.  Phòng Kinh tế xác định diện tích thu hồi 110,8m2 do bà Đỗ Thị Ngọc sử dụng là đất giao thông đường Quốc lộ 6 (DGT).</t>
  </si>
  <si>
    <t>- UBND xã Đông Sơn (cũ) giao đất làm nhà ở cho hộ bà Nguyễn Thị Vân theo Biên bản giao đất ở của UBND xã Đông Sơn ngày 15/12/1999, diện tích được giao là 15,0m2 tại tờ bản đồ 38 ,cách tim đường Quốc lộ 6 là 28,0m. Tổng diện tích hiện trạng sử dụng là 25,2m2, tăng 10,2m2  so với diện tích đất được UBND xã giao.
- Đối chiếu với các cạnh thửa đất giữa Bản đồ GPMB; Biên bản giao đất năm 1999, xác định tăng 10,2m2 về phía Nam giáp đường Quốc lộ 6.
- UBND xã Đông Sơn (cũ) giao đất ở năm 1999 vào đất hành lang giao thông quy định tại Nghị định số 203-HĐBT ngày 21/12/1982 của Hội đồng Bộ trưởng về việc ban hành điều lệ bảo vệ đường bộ có hiệu lực thi hành quy định hành lang là 28m (tính từ tim đường ra mỗi bên), do vậy diện tích thu hồi 25,2m2 là đất hành lang giao thông Quốc lộ 6. Không đủ điều kiện cấp giấy chứng nhận quyền sử dụng đất theo quy định của Luật Đất đai năm 2024. Phòng Kinh tế xác định diện tích thu hồi 25,2m2 đất do hộ bà Nguyễn Thị Vân sử dụng là đất giao thông đường Quốc lộ 6 (DGT).</t>
  </si>
  <si>
    <t xml:space="preserve">- Đất UBND xã Đông Sơn (cũ) cho hộ ông Nguyễn Văn Chiến thuê đất làm dịch vụ năm 1999, kích thước cho thuê diện tích 13,7m2. Hộ ông Nguyễn Văn Chiến đã nộp số tiền 14.000.000 đồng (Mười bốn triệu đồng) khi được cho thuê làm đất dịch vụ năm 1999. Tổng diện tích hiện trạng sử dụng là 26,6m2, tăng 12,9m2 so với diện tích đất dịch vụ được UBND xã cho thuê đất. Đối chiếu với các cạnh thửa đất giữa Bản đồ GPMB; Biên bản xác định kích thước thửa đất tăng 12,9m2 về phía Nam giáp đường Quốc lộ 6. 
- UBND xã Đông Sơn (cũ) cho thuê đất dịch vụ vào đất hành lang giao thông quy định tại Nghị định số 203-HĐBT ngày 21/12/1982 của Hội đồng Bộ trưởng về việc ban hành điều lệ bảo vệ đường bộ có hiệu lực thi hành quy định hành lang là 28m (tính từ tim đường ra mỗi bên), do vậy diện tích thu hồi 26,6m2 thuộc đất hành lang giao thông. (Trong đó: 13,7m2  đất được thuê làm dịch vụ là đất hành lang giao thông, 12,9m2 đất hành lang giao thông đường Quốc lộ 6). Không đủ điều kiện cấp giấy chứng nhận quyền sử dụng đất theo quy định của Luật Đất đai năm 2024. Phòng Kinh tế xác định diện tích thu hồi 26,6m2 đất do hộ ông Nguyễn Văn Chiến sử dụng là giao thông đường Quốc lộ 6 (DGT).   </t>
  </si>
  <si>
    <t xml:space="preserve">- Theo đơn chuyển nhượng quyền sử dụng đất giữa bà Nguyễn Thị Út với ông Bùi Văn Hồng ngày 19/9/2009 được UBND xã Đông Sơn xác nhận ngày 19/9/1999 thể hiện bà Nguyễn Thị Út chuyển nhượng cho ông Bùi Văn Hồng 61,0 m2 trong lưu không là 41,2m2, ngoài lưu không là 19,8m2 có nguồn gốc: bà Nguyễn Thị Út được công ty thương mại huyện Chương Mỹ (cũ) thanh lý tài sản cho công nhân nghỉ theo chế độ Nghị định 176 năm 1991. Năm 1998 UBND xã Đông Sơn (cũ) giao đất dịch vụ cho bà Nguyễn Thị Út diện tích 61,0m2. Theo Bản đồ năm 1983 là đất hợp tác xã, đất kho muối, đất cơ quan H17, bản đồ dân cư năm 1996 là đất khu dân cư, ngoài ra không có giấy tờ gì khác, ông Hồng sử dụng đến nay. 
- Tổng diện tích 82,4m2 tăng 21,0m2 so với diện tích đất được giao là 61m2 (Trong đó: 42,1m2 trong lưu không, 19,8m2 ngoài lưu không). Đối chiếu các cạnh thửa đất giữa bản đồ GPMB và Giấy chứng nhận quyền sử dụng đất cấp của hộ, xác định tăng 21,0m2, trong đó tăng 16,6m2 về phía Bắc đường Quốc lộ 6, tăng 4,4m2 về phía Nam giáp hộ bà Nguyễn Thị Miến.
- Căn cứ Nghị định số 203-HĐBT ngày 21/12/1982 của Hội đồng Bộ trưởng về việc ban hành điều lệ bảo vệ đường bộ có hiệu lực thi hành quy định hành lang là 28m (tính từ tim đường ra mỗi bên), do vậy diện tích thu hồi 53,1m2 là đất hành lang giao thông Quốc lộ 6. Không đủ điều kiện cấp giấy chứng nhận quyền sử dụng đất theo quy định của Luật Đất đai năm 2024. Phòng Kinh tế xác định diện tích thu hồi 53,1m2 đất do hộ ông Bùi Văn Hồng sử dụng là đất giao thông đường Quốc lộ 6 (DGT).   </t>
  </si>
  <si>
    <t xml:space="preserve">- Bà Nguyễn Thị Nguyên được UBND xã Đông Sơn (cũ) giao đất làm dịch vụ năm 1991, với tổng diện tích 35,0m2, UBND xã Đông Sơn (cũ) ký xác nhận. (kèm theo gồm; Biên bản giao làm dịch vụ ngày 30/11/1991, Phiếu thu tiền đất dịch vụ năm 1991 là 1.750.000đ và năm 1999 là 2.970.000đ) ngoài ra không có giấy tờ gì khác, bà Nguyên sử dụng từ đó đến nay.  
- Tổng diện tích 60,5m2 tăng 25,5m2 so với diện tích được so với diện tích đất được giao.
Đối chiếu với các cạnh thửa đất giữa Bản đồ GPMB và giấy chứng nhận quyền sử dụng đất được cấp của hộ, xác định tăng 25,5m2, Trong đó tăng 9,1m2 về phía Bắc giáp đường Quốc lộ 6, tăng 16,4m2 về phía Nam giáp đất chợ Gốt.  
- Căn cứ Nghị định số 203-HĐBT ngày 21/12/1982 của Hội đồng Bộ trưởng về việc ban hành điều lệ bảo vệ đường bộ có hiệu lực thi hành quy định hành lang là 28m (tính từ tim đường ra mỗi bên), do vậy diện tích thu hồi 43,0m2 là đất hành lang giao thông đường Quốc lộ 6 (Trong đó: 33,9m2 là đất dịch vụ, 9,1m2 là đất hành lang giao thông đường Quốc lộ 6). Không đủ điều kiện cấp giấy chứng nhận quyền sử dụng đất theo quy định của Luật Đất đai năm 2024. Phòng Kinh tế xác định diện tích thu hồi 43,0m2 đất Bà Nguyễn Thị Nguyên sử dụng là đất giao thông đường Quốc lộ 6 (DGT).   </t>
  </si>
  <si>
    <t>- Đất UBND xã giao đất làm dịch vụ cho hộ ông Lưu Công Tuấn theo Biên bản giao đất dịch vụ của UBND xã Đông Sơn ngày 30/11/1991, diện tích được giao là 35,2 m2 (kích thước 4,4 m x 8,0 m), cách tim đường quốc lộ 6 là 17,5 m. Hộ ông Lưu Công Tuấn sử dụng đến năm 2000, chuyển nhượng toàn bộ diện tích đất và tài sản trên đất cho ông Trịnh Quang Lê cùng vợ là Đỗ Thị Nguyệt (có xác nhận của UBND xã Đông Sơn ngày 20/10/2000).Tổng diện tích hiện trạng sử dụng 50,1 m2 tăng 14,9m2 so với diện tích theo biên bản giao đất ngày 30/11/1991. 
- Đối chiếu với các cạnh thửa đất giữa Bản đồ GPMB và kích thước mô tả iện tích thửa đất giao, xác định tăng 14,9m2 về phía Bắc giáp đường Quốc lộ 6. 
 	- UBND xã Đông Sơn (cũ) cấp đất dịch vụ vào đất hành lang giao thông quy định tại Nghị định số 203-HĐBT ngày 21/12/1982 của Hội đồng Bộ trưởng về việc ban hành điều lệ bảo vệ đường bộ có hiệu lực thi hành do vậy số diện tích thu hồi 42,6m2 đất hành lang giao thông (Trong đó: 27,7m2  đất dịch vụ thuộc đất hành lang giao thông, 14,9m2 đất hành lang giao thông đường Quốc lộ 6). Không đủ điều kiện cấp giấy chứng nhận quyền sử dụng đất theo quy định của Luật Đất đai năm 2024. 	Phòng Kinh tế xác định diện tích thu hồi 42,6m2 do ông Trịnh Quang Lê và bà Đỗ Thị Nguyệt sử dụng là đất giao thông đường Quốc lộ 6 (DGT).</t>
  </si>
  <si>
    <t xml:space="preserve">- Ông Nguyễn Đức Tú được UBND huyện Chương Mỹ cấp giấy chứng nhận QSD đất thửa số 226, tờ bản đồ số 38, số BV 481193, số vào sổ 00791 với diện tích 51m2 cấp ngày 23/06/2014. Mục đích sử dụng là đất ở tại nông thôn. Tổng diện tích hiện trạng sử dụng là 111,5m2, tăng 60,5m2 so với diện tích đất được cấp giấy chứng nhận là do trong quá trình sử dụng hộ tự cơi nới sử dụng ra một phần diện tích đất hành lang giao thông đường Quốc lộ 6.  
- Đối chiếu với các cạnh thửa đất giữa Bản đồ GPMB; Giấy chứng nhận quyền sử dụng đất được cấp của ông Nguyễn Đức Tú, xác định tăng 60,5m2; Trong đó: Tăng 3,14m2 về phía Đông, tăng 57,36m2 về phía Bắc giáp đường Quốc lộ 6. 
- Căn cứ Bản đồ phục vụ công tác GPMB; Nghị định số 203-HĐBT ngày 21/12/1982 của Hội đồng Bộ trưởng về việc ban hành điều lệ bảo vệ đường bộ; Giấy chứng nhận quyền sử dụng đất của ông Nguyễn Đức Tú. Phòng Kinh tế xác định diện tích thu hồi 37,6m2 đất do ông Nguyễn Đức Tú sử dụng là đất giao thông đường Quốc lộ 6 (DGT).   </t>
  </si>
  <si>
    <t xml:space="preserve">- Hộ ông Lê Văn Tâm và bà Bùi Thị Lan được UBND huyện Chương Mỹ cấp giấy chứng nhận quyền sử dụng đất thửa số 264, tờ bản đồ số 38, số BL 467787, số vào sổ 00112 với diện tích 59m2 cấp ngày 22/04/2013. Mục đích sử dụng là đất ở tại nông thôn. Tổng diện tích hiện trạng sử dụng là 110,5m2, tăng 51,5m2 so với diện tích đất được cấp giấy chứng nhận. 
' - Đối chiếu với các cạnh thửa đất giữa Bản đồ GPMB và giấy chứng nhận quyền sử dụng đất được cấp của hộ, xác định tăng 51,5m2 về phía Bắc giáp đường Quốc lộ 6. 
- Căn cứ Bản đồ phục vụ công tác GPMB, Nghị định số 203-HĐBT ngày 21/12/1982 của Hội đồng Bộ trưởng về việc ban hành điều lệ bảo vệ đường bộ; Giấy chứng nhận quyền sử dụng đất hộ ông Lê Văn Tâm và bà Bùi Thị Lan. Phòng Kinh tế xác định diện tích thu hồi 37,1m2 đất do hộ ông Lê Văn Tâm và bà Bùi Thị Lan sử dụng là đất giao thông Quốc lộ 6 (DGT). </t>
  </si>
  <si>
    <t>- Ông Nguyễn Vũ Mạnh được UBND huyện Chương Mỹ cấp giấy chứng nhận QSD đất thửa số 103, tờ bản đồ số 38, số BL 008164, số vào sổ cấp giấy chứng nhận quyền sử dụng đất: 00518 với diện tích 300m2 cấp ngày 28/05/2012. Mục đích sử dụng là đất ở (180m2), đất trồng cây lâu năm (120m2). Tổng diện tích hiện trạng sử dụng là 660,5m2, tăng 360,5m2 so với diện tích đất được cấp giấy chứng nhận.
'- Đối chiếu với các cạnh thửa đất giữa Bản đồ GPMB và giấy chứng nhận quyền sử dụng đất được cấp của hộ, xác định tăng 360,5m2 trong đó: Tăng 82,2m2 về phía Đông, tăng 278,3m2 về phía Nam giáp đường Quốc lộ 6. 
- Căn cứ Bản đồ phục vụ công tác GPMB; Nghị định số 203-HĐBT ngày 21/12/1982 của Hội đồng Bộ trưởng về việc ban hành điều lệ bảo vệ đường bộ, Giấy chứng nhận quyền sử dụng đất của ông Nguyễn Vũ Mạnh; Phòng Kinh tế xác định diện tích thu hồi 256,6m2 đất do ông Nguyễn Vũ Mạnh sử dụng là giao thông Quốc lộ 6 (DGT).</t>
  </si>
  <si>
    <t>Quốc lộ 6 - Thôn Thanh Trì - xã Phú Nghĩa - TP Hà Nội</t>
  </si>
  <si>
    <t>- Hộ ông Nguyễn Bá Ước và bà Nguyễn Thị Xuân được UBND huyện Chương Mỹ cấp giấy chứng nhận quyền sử dụng đất tại thửa đất số 102, tờ bản đồ số 39, số phát hành BL208656, số vào sổ cấp GCN QSDĐ 00583, với diện tích 180,0m2 cấp ngày 08/10/2012. Địa chỉ thửa đất: Thôn Thanh Trì, xã Phú Nghĩa, thành phố Hà Nội. Mục đích sử dụng: đất ở tại nông thôn.
Tổng diện tích sử dụng 1087,7m2 tăng 907,7m2 so với giấy chứng nhận quyền sử dụng đất hộ đã được cấp.
'- Đối chiếu với các cạnh thửa đất giữa Bản đồ GPMB; Giấy chứng nhận quyền sử dụng đất được cấp của hộ, xác định tăng 907,7m2, trong đó tăng 117,8m2 về phía Nam đường Quốc lộ 6, tăng 789,9m2 về phía Bắc.  
'- Căn cứ Bản đồ phục vụ công tác GPMB; Nghị định số 203-HĐBT ngày 21/12/1982 của Hội đồng Bộ trưởng về việc ban hành điều lệ bảo vệ đường bộ, Giấy chứng nhận quyền sử dụng đất của hộ ông Nguyễn Bá Ước và bà Nguyễn Thị Xuân. Phòng Kinh tế xác định diện tích thu hồi 91,0m2 do hộ ông Nguyễn Bá Ước và bà Nguyễn Thị Xuân sử dụng là đất giao thông đường Quốc lộ 6 (DGT).</t>
  </si>
  <si>
    <t>- Hộ ông Trần Trọng Hùng và bà Nguyễn Thị Minh được UBND huyện Chương Mỹ cấp giấy chứng nhận quyền sử dụng đất tại thửa đất số 272, tờ bản đồ số 38, số phát hành BB337742, số vào sổ cấp GCN QSDĐ 00162, với diện tích 221,0m2 cấp ngày 01/11/2010. Địa chỉ thửa đất: Thôn Phố Gốt, xã Phú Nghĩa, thành phố Hà Nội. Mục đích sử dụng: Đất ở tại nông thôn.
Tổng diện tích sử dụng 336,2m2 tăng 115,2m2 so với giấy chứng nhận quyền sử dụng đất hộ đã được cấp. Đối chiếu với các cạnh thửa đất giữa Bản đồ GPMB; Giấy chứng nhận quyền sử dụng đất được cấp của hộ, xác định tăng 115,2m2 về phía Bắc đường Quốc lộ 6.  
- Căn cứ Bản đồ phục vụ công tác GPMB; Nghị định số 203-HĐBT ngày 21/12/1982 của Hội đồng Bộ trưởng về việc ban hành điều lệ bảo vệ đường bộ, Giấy chứng nhận quyền sử dụng đất của hộ ông Trần Trọng Hùng và bà Nguyễn Thị Minh. Phòng Kinh tế xác định diện tích thu hồi 68,3m2 đất ở đã được cấp GCN QSDĐ của hộ ông Trần Trọng Hùng và bà Nguyễn Thị Minh sử dụng là đất giao thông đường Quốc lộ 6 (DGT).</t>
  </si>
  <si>
    <t>Quốc lộ 6 - Thôn Phố Gốt - xã Phú Nghĩa - TP Hà Nội</t>
  </si>
  <si>
    <t xml:space="preserve">- Ông Trịnh Văn Hưởng và bà Nguyễn Thị Lan được UBND huyện Chương Mỹ cấp giấy chứng nhận QSD đất thửa số 265, tờ bản đồ số 38, số AP 440428, số vào sổ 01779 với diện tích 64m2 cấp ngày 10/12/2009. Mục đích sử dụng là đất ở tại nông thôn. Tổng diện tích hiện trạng sử dụng là 115,7m2, tăng 51,7m2 so với diện tích đất được cấp giấy chứng nhận. 
- Đối chiếu với các cạnh thửa đất giữa Bản đồ GPMB; Giấy chứng nhận quyền sử dụng đất được cấp của hộ, xác định tăng 51,7m2 về phía Bắc giáp đường Quốc lộ 6. 
- Căn cứ Bản đồ phục vụ công tác GPMB; Nghị định số 203-HĐBT ngày 21/12/1982 của Hội đồng Bộ trưởng về việc ban hành điều lệ bảo vệ đường bộ, Giấy chứng nhận quyền sử dụng đất của ông Trịnh Văn Hưởng và bà Nguyễn Thị Lan. Phòng Kinh tế xác định diện tích thu hồi 35,9m2 đất do ông Trịnh Văn Hưởng và bà Nguyễn Thị Lan sử dụng là đất giao thông đường Quốc lộ 6 (DGT).   </t>
  </si>
  <si>
    <t xml:space="preserve">- Hộ ông Nguyễn Ngọc Dũng được UBND huyện Chương Mỹ cấp giấy chứng nhận quyền sử dụng đất thửa số 245A, tờ bản đồ số 38, số BL 008741, số vào sổ 00544 với diện tích 68m2 cấp ngày 03/08/2012. Mục đích sử dụng là đất ở tại nông thôn.Tổng diện tích hiện trạng sử dụng là 129,1m2, tăng 61,1m2 so với diện tích đất được cấp giấy chứng nhận là do trong quá trình sử dụng hộ tự cơi nới sử dụng ra một phần diện tích đất hành lang giao thông đường Quốc lộ 6. 
- Đối chiếu với các cạnh thửa đất giữa Bản đồ GPMB và giấy chứng nhận quyền sử dụng đất được cấp của hộ, xác định tăng 61,1m2 về phía Bắc giáp đường Quốc lộ 6. 
- Căn cứ Bản đồ phục vụ công tác GPMB, Nghị định số 203-HĐBT ngày 21/12/1982 của Hội đồng Bộ trưởng về việc ban hành điều lệ bảo vệ đường bộ, Giấy chứng nhận quyền sử dụng đất hộ ông Nguyễn Ngọc Dũng. Phòng Kinh tế xác định diện tích thu hồi 47,8m2 đất do hộ ông Nguyễn Ngọc Dũng sử dụng là đất giao thông đường Quốc lộ 6 (DGT).   </t>
  </si>
  <si>
    <t>- Hộ ông  Vũ Viết Chính và bà Nguyễn Thị Phương được UBND huyện Chương Mỹ cấp giấy chứng nhận quyền sử dụng đất thửa đất số 238, tờ bản đồ số 38, số phát hành BL 467543, số vào sổ cấp GCN: 00680 với diện tích 35,0m2, cấp ngày 19/3/2013. Địa chỉ thửa đất: Thôn Phố Gốt, xã Phú Nghĩa, thành phố Hà Nội. Mục đích sử dụng đất ở tại dân cư, thời hạn sử dụng lâu dài.Tổng diện tích 97,3m2 tăng 62,3m2 so với diện tích đã được cấp giấy chứng nhận quyền sử dụng đất.
- Đối chiếu với các cạnh thửa đất giữa Bản đồ GPMB và giấy chứng nhận quyền sử dụng đất được cấp của hộ, xác định tăng 62,3m2 về phía Bắc giáp đường Quốc lộ 6.  
- Căn cứ Bản đồ phục vụ công tác GPMB, Nghị định số 203-HĐBT ngày 21/12/1982 của Hội đồng Bộ trưởng về việc ban hành điều lệ bảo vệ đường bộ, Giấy chứng nhận quyền sử dụng đất của hộ ông  Vũ Viết Chính và bà Nguyễn Thị Phương. Phòng Kinh tế xác định diện tích thu hồi 59,1 m2 do hộ ông Vũ Viết Chính và bà Nguyễn Thị Phương sử dụng là đất giao thông đường Quốc lộ 6 (DGT).</t>
  </si>
  <si>
    <t>- Thửa đất của ông Lê Tiến Nguyên và bà Dương Thị Bích Thủy được UBND huyện Chương Mỹ cấp Giấy chứng nhận quyền sử dụng đất số phát hành CU 442660 ngày 20/01/2020 tại thửa đất số 01, tờ bản đồ số 97-2018, diện tích 66,8m2 đất ở, thửa đất cách tim đường Quốc lộ 6 là 28,0 m.Đối chiếu với các cạnh thửa đất giữa Bản đồ GPMB và giấy chứng nhận quyền sử dụng đất được cấp của hộ, xác định tăng 40,7m2, trong đó tăng 1,1m2 về phía Bắc, tăng 39,6m2 về phía Nam đường Quốc lộ 6.  
- Căn cứ Bản đồ phục vụ công tác GPMB, Nghị định số 203-HĐBT ngày 21/12/1982 của Hội đồng Bộ trưởng về việc ban hành điều lệ bảo vệ đường bộ, Giấy chứng nhận quyền sử dụng đất số phát hành CU 442660 của hộ ông Lê Tiến Nguyên, bà Dương Thị Bích Thủy, phòng Kinh tế xác định diện tích thu hồi 23,6 m2 của hộ ông Lê Tiến Nguyên và bà Dương Thị Bích Thủy sử dụng là đất giao thông đường Quốc lộ 6 (DGT).</t>
  </si>
  <si>
    <t>- Hộ bà Nguyễn Thị Phương Mai được UBND huyện Chương Mỹ cấp giấy chứng nhận quyền sử dụng đất, thửa đất số 239, tờ bản đồ số 38, số phát hành CL 208657, số vào sổ cấp GCN: 00580 với diện tích 36,0m2, cấp ngày 08/10/2012. Địa chỉ thửa đất: Thôn Phố Gốt, xã Phú Nghĩa, thành phố Hà Nội. Mục đích sử dụng đất ở tại nông thôn, thời hạn sử dụng lâu dài.
- Tổng diện tích 91,2m2 tăng 55,2m2 so với diện tích được cấp giấy chứng nhận quyền sử dụng đất đã cấp. Đối chiếu với các cạnh thửa đất giữa Bản đồ GPMB; Giấy chứng nhận quyền sử dụng đất được cấp của hộ, xác định tăng 55,2m2 về phía Bắc đường Quốc lộ 6.  
- Căn cứ Bản đồ phục vụ công tác GPMB; Nghị định số 203-HĐBT ngày 21/12/1982 của Hội đồng Bộ trưởng về việc ban hành điều lệ bảo vệ đường bộ; Giấy chứng nhận quyền sử dụng đất của hộ bà Nguyễn Thị Phương Mai. Phòng Kinh tế xác định diện tích thu hồi 45,8 m2 do hộ bà Nguyễn Thị Phương Mai sử dụng là đất giao thông đường Quốc lộ 6 (DGT).</t>
  </si>
  <si>
    <t>- Hộ bà Nguyễn Thị Út và ông Nguyễn Chí Lại được UBND huyện Chương Mỹ cấp giấy chứng nhận quyền sử dụng đất tại thửa đất số 241, tờ bản đồ số 38, số phát hành BD765823, số vào sổ cấp GCN QSDĐ 00229, với diện tích 100,0m2 cấp ngày 09/02/2010. Địa chỉ thửa đất: Thôn Phố Gốt, xã Phú Nghĩa, thành phố Hà Nội. Mục đích sử dụng: đất ở tại nông thôn. Tổng diện tích hiện trạng 157,6m2 tăng 57,6m2 so với giấy chứng nhận quyền sử dụng đất của hộ đã được cấp. Đối chiếu với các cạnh thửa đất giữa Bản đồ GPMB và giấy chứng nhận quyền sử dụng đất được cấp của hộ, xác định tăng 57,6m2 về phía Bắc đường Quốc lộ 6. 
- Căn cứ Bản đồ phục vụ công tác GPMB; Nghị định số 203-HĐBT ngày 21/12/1982 của Hội đồng Bộ trưởng về việc ban hành điều lệ bảo vệ đường bộ; Giấy chứng nhận quyền sử dụng đất của hộ bà Nguyễn Thị Út và ông Nguyễn Chí Lại.  Phòng Kinh tế xác định diện tích thu hồi 49,1m2 đất do hộ bà Nguyễn Thị Út và ông Nguyễn Chí Lại sử dụng là đất giao thông đường Quốc lộ 6 (DGT).</t>
  </si>
  <si>
    <t>- Thửa đất của ông Nguyễn Đình Khánh được Sở TN&amp;MT thành phố Hà Nội cấp giấy chứng nhận QSD đất số phát hành DE 857618 ngày 21/3/2022 tại thửa đất số 247, tờ bản đồ số 12, với diện tích cấp 85,2m2. Mục đích sử dụng đất ở tại nông thôn (63,7m2), đất trồng cây lâu năm (21,5m2). Thửa đất cách tim đường Quốc lộ 6 là 28,0 m.Tổng diện tích hiện trạng sử dụng là 131,4m2, tăng 46,2m2 so với diện tích đất được cấp giấy chứng.
- Đối chiếu với các cạnh thửa đất giữa Bản đồ GPMB và giấy chứng nhận quyền sử dụng đất được cấp của hộ, xác định tăng 46,2m2 về phía Nam giáp đường Quốc lộ 6. Căn cứ Bản đồ phục vụ công tác GPMB, Nghị định số 203-HĐBT ngày 21/12/1982 của Hội đồng Bộ trưởng về việc ban hành điều lệ bảo vệ đường bộ; Giấy chứng nhận quyền sử dụng đất số phát hành DE 857618 của ông Nguyễn Đình Khánh; Phòng Kinh tế xác định diện tích thu hồi 38,4m2 đất do ông Nguyễn Đình Khánh sử dụng là đất giao thông đường Quốc lộ 6.</t>
  </si>
  <si>
    <t>- Hộ bà Nguyễn Thị Miến được UBND huyện Chương Mỹ cấp chứng nhận quyền sử dụng đất, thửa đất số 288, tờ bản đồ số 38, số phát hành BD 765814, với diện tích 300,0m2, cấp ngày 09/02/2010. Địa chỉ thửa đất: Thôn Phố Gốt, xã Phú Nghĩa, thành phố Hà Nội. Mục đích sử dụng đất ở tại nông thôn, thời hạn sử dụng lâu dài.
-Tổng diện tích 361,4m2 tăng 61,4m2 so với diện tích được cấp giấy chứng nhận quyền sử dụng đất đã cấp. Đối chiếu với các cạnh thửa đất giữa Bản đồ GPMB; Giấy chứng nhận quyền sử dụng đất được cấp của hộ, xác định tăng 61,4m2. Nhưng thực tế tăng 65,5m2 về phía Bắc đường Quốc lộ 6 (61,4m2 diện tích thu hồi, 4,1m2 đất nằm ngoài giấy chứng nhận được cấp).
- Căn cứ Bản đồ phục vụ công tác GPMB; Nghị định số 203-HĐBT ngày 21/12/1982 của Hội đồng Bộ trưởng về việc ban hành điều lệ bảo vệ đường bộ; Giấy chứng nhận quyền sử dụng đất của hộ bà Nguyễn Thị Miến.Phòng Kinh tế xác định diện tích thu hồi 62,2 m2 do hộ bà Nguyễn Thị Miến sử dụng nằm ngoài giấy chứng nhận quyền sử dụng đất đã được cấp. Do vậy diện tích thu hồi là đất giao thông đường Quốc lộ 6 (DGT).</t>
  </si>
  <si>
    <t>- Thửa đất của ông Nguyễn Đắc Vũ được UBND huyện Chương Mỹ cấp GCN QSD đất số AP 419392 ngày 20/5/2009 tại thửa đất số 30C, tờ bản đồ số 38, diện tích 93,0m2. Mục đích sử dụng: 93,0m2 đất ở. Thửa đất cách tim đường Quốc lộ 6 là 28,0m.
-Tổng diện tích hiện trạng sử dụng là 130,0 m2 tăng 37,0 m2 so với giấy chứng nhận QSD đất đã cấp. Đối chiếu với các cạnh thửa đất giữa Bản đồ GPMB và giấy chứng nhận quyền sử dụng đất được cấp của hộ, xác định tăng 37,0m2 về phía phía Nam đường Quốc lộ 6. 
- Căn cứ Bản đồ phục vụ công tác GPMB, Nghị định số 203-HĐBT ngày 21/12/1982 của Hội đồng Bộ trưởng về việc ban hành điều lệ bảo vệ đường bộ, Giấy chứng nhận quyền sử dụng đất số AP 419392. Phòng Kinh tế xác định diện tích thu hồi 38,3m2 ông Nguyễn Đắc Vũ sử dụng là đất giao thông đường Quốc lộ 6 (DGT)</t>
  </si>
  <si>
    <t xml:space="preserve">- Hộ ông Nguyễn Đình Ái được UBND xã Đông Sơn (cũ) giao đất ở ngày 1/4/2007, thửa số 1, sơ đồ đo đạc chi tiết phân lô để đấu giá, diện tích 59,0m2. Đến ngày 18/4/2007 ông Nguyễn Đình Ái chuyển nhượng cho ông Nguyễn Ngọc Dũng toàn bộ diện tích nói trên, ông Dũng sử dụng không tranh chấp.Tổng diện tích hiện trạng sử dụng là 117,3m2, tăng 58,3m2 so với biên bản giao đất. 
- Đối chiếu với các cạnh thửa đất giữa Bản đồ GPMB; Biên bản giao đất, xác định tăng 58,3m2 về phía Bắc giáp đường Quốc lộ 6. Căn cứ Bản đồ phục vụ công tác GPMB; Nghị định số 203-HĐBT ngày 21/12/1982 của Hội đồng Bộ trưởng về việc ban hành điều lệ bảo vệ đường bộ; Phòng Kinh tế xác định diện tích thu hồi 34,7m2 đất do hộ ông Nguyễn Ngọc Dũng sử dụng là đất giao thông đường Quốc lộ 6 (DGT).   </t>
  </si>
  <si>
    <t>- Theo giấy tờ hộ ông Đỗ Huy Thành cung cấp: Thửa đất của hộ ông Đỗ Huy Thành được Ủy ban nhân dân xã Đông Sơn (cũ) giao năm 1989, không còn giấy tờ liên quan đến thửa đất. 
- Căn cứ Bản đồ phục vụ công tác giải phóng mặt bằng, Nghị định số 203-HĐBT ngày 21/12/1982 của Hội đồng Bộ trưởng về việc ban hành điều lệ bảo vệ đường bộ, phiếu xin ý kiến dân cư về nguồn gốc, quá trình sử dụng đất ngày 03/7/2017 và đơn xin cấp giấy chứng nhận quyền sử dụng, biên bản xác nhận kích thước thửa đất của hộ ông Đỗ Huy Thành kê khai được UBND xã Đông Sơn xác nhận ngày 10/6/2016. Phòng Kinh tế xác nhận diện tích đất diện tích 201,0 m2 do hộ ông Đỗ Huy Thành đang sử dụng được xác định là đất giao thông đường Quốc lộ 6 (DGT).</t>
  </si>
  <si>
    <t>- Thửa đất của hộ ông Trần Huy Chuyển được UBND huyện Chương Mỹ cấp giấy chứng nhận quyền sử dụng đất số phát hành BP 973280 ngày 28/10/2013 tại thửa đất số 201, tờ bản đồ số 39, diện tích 32,8 m2  đất ở. Thửa đất cách tim đường Quốc lộ 6 là 28,0 m. Đối chiếu với các cạnh thửa đất giữa Bản đồ GPMB và giấy chứng nhận quyền sử dụng đất số phát hành BP 973280 được cấp của hộ, xác định diện tích tăng 80,9m2, trong đó tăng 1,1m2 về phía Bắc, tăng 79,8m2 về phía Nam đường Quốc lộ 6.  
- Căn cứ Bản đồ phục vụ công tác GPMB, Nghị định số 203-HĐBT ngày 21/12/1982 của Hội đồng Bộ trưởng về việc ban hành điều lệ bảo vệ đường bộ, Giấy chứng nhận quyền sử dụng đất số phát hành BP 973280 của hộ ông Trần Huy Chuyển, phòng Kinh tế xác định diện tích thu hồi 54,9 m2 của hộ ông Trần Huy Chuyển sử dụng là đất giao thông đường Quốc lộ 6 (DGT).</t>
  </si>
  <si>
    <t xml:space="preserve">- UBND xã giao đất làm dịch vụ cho hộ ông Trần Huy Chuyển theo Biên bản giao đất dịch vụ của UBND xã Đông Sơn ngày 30/10/1992, diện tích được giao là 60,0 m2, cách tim đường quốc lộ 6 là 17,5 m.
- Tổng diện tích hiện trạng sử dụng là 113,5m2, tăng 53,5m2 so với diện tích đất được cấp theo Biên bản giao đất dịch vụ của UBND xã Đông Sơn ngày 30/10/1992.Đối chiếu với các cạnh thửa đất giữa Bản đồ GPMB và giấy chứng nhận quyền sử dụng đất được cấp của hộ, xác định tăng 53,5m2 về phía Nam giáp đường Quốc lộ 6. 
- Căn cứ Bản đồ phục vụ công tác GPMB, Nghị định số 203-HĐBT ngày 21/12/1982 của Hội đồng Bộ trưởng về việc ban hành điều lệ bảo vệ đường bộ, Biên bản giao đất dịch vụ ngày 30/10/1992 của UBND xã Đông Sơn (cũ) cho hộ ông Trần Huy Chuyển, phòng Kinh tế xác định diện tích thu hồi 49,6m2 do hộ ông Trần Huy Chuyển sử dụng là đất giao thông đường Quốc lộ 6 (DGT).   </t>
  </si>
  <si>
    <t>- Thửa đất của bà Nguyễn Thị Sinh có nguồn gốc: Đất của bố mẹ bà Nguyễn Thị Sinh là ông Nguyễn Văn Hiển và bà Nguyễn Thị Tục có tổng diện tích 94,8 m2, trong đó: UBND xã Đông Sơn cấp đất dịch vụ năm 1993 diện tích: 47,0 m2 và diện tích đất cá thể của gia đình là 47,8 m2. Năm 2001, Ông Nguyễn Văn Hiển và bà Nguyễn Thị Tục chuyển nhượng toàn bộ diện tích nêu trên cho con gái là Nguyễn Thị Sinh (có xác nhận của UBND xã Đông Sơn ngày 11/01/2001). 
- Tổng diện tích hiện trạng sử dụng là 175,7 m2, tăng 80,9 m2 so với diện tích đất trong Đơn đề nghị chuyển  nhượng quyền sử dụng đất được UBND xã Đông Sơn (cũ) xác nhận ngày 11/01/2001. Đối chiếu với các cạnh thửa đất giữa Bản đồ GPMB và sơ đồ thửa đất được cấp của Nguyễn Thị Sinh, xác định tăng 80,9 m2 về phía Nam giáp đường Quốc lộ 6.
- Căn cứ Bản đồ phục vụ công tác GPMB, Nghị định số 203-HĐBT ngày 21/12/1982 của Hội đồng Bộ trưởng về việc ban hành điều lệ bảo vệ đường bộ; Đơn đề nghị chuyển  nhượng quyền sử dụng đất được UBND xã Đông Sơn (cũ) xác nhận ngày 11/01/2001. Phòng Kinh tế xác định diện tích thu hồi 57,7 m2 đất do bà Nguyễn Thị Sinh sử dụng là đất  giao thông đường Quốc lộ 6.</t>
  </si>
  <si>
    <t xml:space="preserve">PHỤ LỤC 3: BẢNG TỔNG HỢP PHƯƠNG ÁN BỒI THƯỜNG, HỖ TRỢ , TÁI ĐỊNH CƯ </t>
  </si>
  <si>
    <t>(Kèm theo Thông báo số: 118/TB-UBND ngày   09 háng  3 năm 2026 của UBBND xã Phú Nghĩa)</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</si>
</sst>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_(* #,##0.00_);_(* \(#,##0.00\);_(* &quot;-&quot;??_);_(@_)"/>
    <numFmt numFmtId="165" formatCode="_-* #,##0.00_-;\-* #,##0.00_-;_-* &quot;-&quot;??_-;_-@_-"/>
    <numFmt numFmtId="166" formatCode="_(* #,##0_);_(* \(#,##0\);_(* &quot;-&quot;??_);_(@_)"/>
    <numFmt numFmtId="167" formatCode="_(* #,##0.0_);_(* \(#,##0.0\);_(* &quot;-&quot;??_);_(@_)"/>
    <numFmt numFmtId="168" formatCode="_-* #,##0.0_-;\-* #,##0.0_-;_-* &quot;-&quot;??_-;_-@_-"/>
    <numFmt numFmtId="169" formatCode="_(* #,##0.000_);_(* \(#,##0.000\);_(* &quot;-&quot;??_);_(@_)"/>
    <numFmt numFmtId="170" formatCode="_-* #,##0_-;\-* #,##0_-;_-* &quot;-&quot;??_-;_-@_-"/>
    <numFmt numFmtId="171" formatCode="#,##0.0"/>
    <numFmt numFmtId="172" formatCode="0.0"/>
  </numFmts>
  <fonts count="40" x14ac:knownFonts="1">
    <font>
      <sz val="11"/>
      <color theme="1"/>
      <name val="Calibri"/>
      <family val="2"/>
      <scheme val="minor"/>
    </font>
    <font>
      <sz val="11"/>
      <color theme="1"/>
      <name val="Calibri"/>
      <family val="2"/>
      <scheme val="minor"/>
    </font>
    <font>
      <b/>
      <sz val="12"/>
      <color theme="1"/>
      <name val="Times New Roman"/>
      <family val="1"/>
    </font>
    <font>
      <b/>
      <sz val="14"/>
      <color theme="1"/>
      <name val="Times New Roman"/>
      <family val="1"/>
    </font>
    <font>
      <sz val="14"/>
      <color theme="1"/>
      <name val="Times New Roman"/>
      <family val="1"/>
    </font>
    <font>
      <sz val="14"/>
      <color theme="1"/>
      <name val="Arial"/>
      <family val="2"/>
    </font>
    <font>
      <sz val="14"/>
      <color rgb="FF000000"/>
      <name val="Times New Roman"/>
      <family val="1"/>
    </font>
    <font>
      <b/>
      <sz val="14"/>
      <name val="Times New Roman"/>
      <family val="1"/>
    </font>
    <font>
      <sz val="11"/>
      <name val="Times New Roman"/>
      <family val="1"/>
    </font>
    <font>
      <b/>
      <sz val="11"/>
      <color theme="1"/>
      <name val="Times New Roman"/>
      <family val="1"/>
    </font>
    <font>
      <b/>
      <sz val="13"/>
      <color rgb="FF000000"/>
      <name val="Times New Roman"/>
      <family val="1"/>
    </font>
    <font>
      <b/>
      <sz val="13"/>
      <color theme="1"/>
      <name val="Times New Roman"/>
      <family val="1"/>
    </font>
    <font>
      <sz val="13"/>
      <color rgb="FF000000"/>
      <name val="Arial"/>
      <family val="2"/>
    </font>
    <font>
      <b/>
      <sz val="13"/>
      <name val="Times New Roman"/>
      <family val="1"/>
    </font>
    <font>
      <sz val="13"/>
      <color rgb="FF000000"/>
      <name val="Times New Roman"/>
      <family val="1"/>
    </font>
    <font>
      <sz val="13"/>
      <color theme="1"/>
      <name val="Times New Roman"/>
      <family val="1"/>
    </font>
    <font>
      <b/>
      <sz val="13"/>
      <color rgb="FF000000"/>
      <name val="Arial"/>
      <family val="2"/>
    </font>
    <font>
      <b/>
      <u/>
      <sz val="13"/>
      <color theme="1"/>
      <name val="Times New Roman"/>
      <family val="1"/>
    </font>
    <font>
      <b/>
      <sz val="13"/>
      <color theme="1"/>
      <name val="Arial"/>
      <family val="2"/>
    </font>
    <font>
      <i/>
      <sz val="13"/>
      <color theme="1"/>
      <name val="Times New Roman"/>
      <family val="1"/>
    </font>
    <font>
      <sz val="13"/>
      <color theme="1"/>
      <name val="Wingdings 2"/>
      <family val="1"/>
      <charset val="2"/>
    </font>
    <font>
      <b/>
      <sz val="20"/>
      <color theme="1"/>
      <name val="Wingdings 2"/>
      <family val="1"/>
      <charset val="2"/>
    </font>
    <font>
      <sz val="13"/>
      <color theme="1"/>
      <name val="Arial"/>
      <family val="2"/>
      <charset val="163"/>
    </font>
    <font>
      <b/>
      <sz val="13"/>
      <color rgb="FFFF0000"/>
      <name val="Times New Roman"/>
      <family val="1"/>
    </font>
    <font>
      <sz val="13"/>
      <color rgb="FFFF0000"/>
      <name val="Times New Roman"/>
      <family val="1"/>
    </font>
    <font>
      <sz val="13"/>
      <name val="Times New Roman"/>
      <family val="1"/>
    </font>
    <font>
      <vertAlign val="superscript"/>
      <sz val="13"/>
      <name val="Times New Roman"/>
      <family val="1"/>
    </font>
    <font>
      <i/>
      <u/>
      <sz val="13"/>
      <name val="Times New Roman"/>
      <family val="1"/>
    </font>
    <font>
      <i/>
      <sz val="13"/>
      <color rgb="FF000000"/>
      <name val="Arial"/>
      <family val="2"/>
    </font>
    <font>
      <vertAlign val="superscript"/>
      <sz val="13"/>
      <color theme="1"/>
      <name val="Times New Roman"/>
      <family val="1"/>
    </font>
    <font>
      <i/>
      <sz val="13"/>
      <name val="Times New Roman"/>
      <family val="1"/>
    </font>
    <font>
      <sz val="13"/>
      <name val="Arial"/>
      <family val="2"/>
    </font>
    <font>
      <b/>
      <i/>
      <sz val="13"/>
      <name val="Times New Roman"/>
      <family val="1"/>
    </font>
    <font>
      <b/>
      <i/>
      <sz val="13"/>
      <color theme="1"/>
      <name val="Times New Roman"/>
      <family val="1"/>
    </font>
    <font>
      <b/>
      <sz val="13"/>
      <color theme="1"/>
      <name val="Wingdings 2"/>
      <family val="1"/>
      <charset val="2"/>
    </font>
    <font>
      <sz val="13"/>
      <color rgb="FFC00000"/>
      <name val="Arial"/>
      <family val="2"/>
    </font>
    <font>
      <b/>
      <sz val="18"/>
      <color theme="1"/>
      <name val="Wingdings 2"/>
      <family val="1"/>
      <charset val="2"/>
    </font>
    <font>
      <i/>
      <sz val="13"/>
      <color rgb="FF000000"/>
      <name val="Times New Roman"/>
      <family val="1"/>
    </font>
    <font>
      <b/>
      <sz val="12"/>
      <name val="Times New Roman"/>
      <family val="1"/>
    </font>
    <font>
      <sz val="14"/>
      <color rgb="FFFF0000"/>
      <name val="Times New Roman"/>
      <family val="1"/>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s>
  <borders count="42">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auto="1"/>
      </left>
      <right/>
      <top style="thin">
        <color indexed="64"/>
      </top>
      <bottom style="thin">
        <color auto="1"/>
      </bottom>
      <diagonal/>
    </border>
    <border>
      <left/>
      <right/>
      <top style="thin">
        <color indexed="64"/>
      </top>
      <bottom style="thin">
        <color indexed="64"/>
      </bottom>
      <diagonal/>
    </border>
    <border>
      <left/>
      <right style="thin">
        <color auto="1"/>
      </right>
      <top style="thin">
        <color indexed="64"/>
      </top>
      <bottom style="thin">
        <color auto="1"/>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hair">
        <color auto="1"/>
      </bottom>
      <diagonal/>
    </border>
    <border>
      <left style="thin">
        <color auto="1"/>
      </left>
      <right/>
      <top style="thin">
        <color indexed="64"/>
      </top>
      <bottom style="hair">
        <color auto="1"/>
      </bottom>
      <diagonal/>
    </border>
    <border>
      <left/>
      <right style="thin">
        <color auto="1"/>
      </right>
      <top style="thin">
        <color indexed="64"/>
      </top>
      <bottom style="hair">
        <color auto="1"/>
      </bottom>
      <diagonal/>
    </border>
    <border>
      <left style="thin">
        <color auto="1"/>
      </left>
      <right style="thin">
        <color auto="1"/>
      </right>
      <top style="hair">
        <color auto="1"/>
      </top>
      <bottom style="thin">
        <color auto="1"/>
      </bottom>
      <diagonal/>
    </border>
    <border>
      <left style="thin">
        <color indexed="64"/>
      </left>
      <right/>
      <top style="thin">
        <color indexed="64"/>
      </top>
      <bottom/>
      <diagonal/>
    </border>
    <border>
      <left/>
      <right/>
      <top style="thin">
        <color indexed="64"/>
      </top>
      <bottom/>
      <diagonal/>
    </border>
    <border>
      <left style="thin">
        <color auto="1"/>
      </left>
      <right style="thin">
        <color auto="1"/>
      </right>
      <top/>
      <bottom/>
      <diagonal/>
    </border>
    <border>
      <left style="thin">
        <color auto="1"/>
      </left>
      <right style="thin">
        <color auto="1"/>
      </right>
      <top style="hair">
        <color auto="1"/>
      </top>
      <bottom style="hair">
        <color auto="1"/>
      </bottom>
      <diagonal/>
    </border>
    <border>
      <left/>
      <right style="thin">
        <color indexed="64"/>
      </right>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style="double">
        <color auto="1"/>
      </left>
      <right style="thin">
        <color auto="1"/>
      </right>
      <top style="hair">
        <color auto="1"/>
      </top>
      <bottom style="hair">
        <color auto="1"/>
      </bottom>
      <diagonal/>
    </border>
    <border>
      <left style="thin">
        <color auto="1"/>
      </left>
      <right style="double">
        <color auto="1"/>
      </right>
      <top style="hair">
        <color auto="1"/>
      </top>
      <bottom style="hair">
        <color auto="1"/>
      </bottom>
      <diagonal/>
    </border>
    <border>
      <left style="thin">
        <color auto="1"/>
      </left>
      <right style="double">
        <color auto="1"/>
      </right>
      <top style="hair">
        <color auto="1"/>
      </top>
      <bottom style="thin">
        <color auto="1"/>
      </bottom>
      <diagonal/>
    </border>
    <border>
      <left style="thin">
        <color auto="1"/>
      </left>
      <right style="thin">
        <color auto="1"/>
      </right>
      <top style="hair">
        <color auto="1"/>
      </top>
      <bottom/>
      <diagonal/>
    </border>
    <border>
      <left style="thin">
        <color indexed="64"/>
      </left>
      <right/>
      <top/>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right style="thin">
        <color auto="1"/>
      </right>
      <top style="hair">
        <color auto="1"/>
      </top>
      <bottom style="hair">
        <color auto="1"/>
      </bottom>
      <diagonal/>
    </border>
    <border>
      <left/>
      <right style="thin">
        <color auto="1"/>
      </right>
      <top style="hair">
        <color auto="1"/>
      </top>
      <bottom style="thin">
        <color auto="1"/>
      </bottom>
      <diagonal/>
    </border>
    <border>
      <left/>
      <right style="thin">
        <color auto="1"/>
      </right>
      <top/>
      <bottom style="double">
        <color auto="1"/>
      </bottom>
      <diagonal/>
    </border>
    <border>
      <left style="double">
        <color indexed="64"/>
      </left>
      <right style="thin">
        <color indexed="64"/>
      </right>
      <top style="thin">
        <color indexed="64"/>
      </top>
      <bottom/>
      <diagonal/>
    </border>
    <border>
      <left/>
      <right/>
      <top style="hair">
        <color auto="1"/>
      </top>
      <bottom style="hair">
        <color auto="1"/>
      </bottom>
      <diagonal/>
    </border>
    <border>
      <left style="thin">
        <color auto="1"/>
      </left>
      <right style="double">
        <color auto="1"/>
      </right>
      <top style="hair">
        <color auto="1"/>
      </top>
      <bottom style="double">
        <color auto="1"/>
      </bottom>
      <diagonal/>
    </border>
    <border>
      <left style="thin">
        <color auto="1"/>
      </left>
      <right style="thin">
        <color auto="1"/>
      </right>
      <top style="hair">
        <color auto="1"/>
      </top>
      <bottom style="double">
        <color auto="1"/>
      </bottom>
      <diagonal/>
    </border>
    <border>
      <left/>
      <right style="thin">
        <color auto="1"/>
      </right>
      <top style="hair">
        <color auto="1"/>
      </top>
      <bottom/>
      <diagonal/>
    </border>
    <border>
      <left style="thin">
        <color auto="1"/>
      </left>
      <right style="double">
        <color auto="1"/>
      </right>
      <top style="hair">
        <color auto="1"/>
      </top>
      <bottom/>
      <diagonal/>
    </border>
    <border>
      <left style="thin">
        <color indexed="64"/>
      </left>
      <right style="thin">
        <color indexed="64"/>
      </right>
      <top style="double">
        <color indexed="64"/>
      </top>
      <bottom style="hair">
        <color indexed="64"/>
      </bottom>
      <diagonal/>
    </border>
    <border>
      <left style="thin">
        <color indexed="64"/>
      </left>
      <right style="double">
        <color auto="1"/>
      </right>
      <top style="thin">
        <color indexed="64"/>
      </top>
      <bottom style="hair">
        <color indexed="64"/>
      </bottom>
      <diagonal/>
    </border>
    <border>
      <left/>
      <right style="double">
        <color auto="1"/>
      </right>
      <top style="hair">
        <color indexed="64"/>
      </top>
      <bottom style="hair">
        <color indexed="64"/>
      </bottom>
      <diagonal/>
    </border>
  </borders>
  <cellStyleXfs count="5">
    <xf numFmtId="0" fontId="0" fillId="0" borderId="0"/>
    <xf numFmtId="165" fontId="1" fillId="0" borderId="0" applyFont="0" applyFill="0" applyBorder="0" applyAlignment="0" applyProtection="0"/>
    <xf numFmtId="164" fontId="1" fillId="0" borderId="0" applyFont="0" applyFill="0" applyBorder="0" applyAlignment="0" applyProtection="0"/>
    <xf numFmtId="0" fontId="1" fillId="0" borderId="0"/>
    <xf numFmtId="9" fontId="1" fillId="0" borderId="0" applyFont="0" applyFill="0" applyBorder="0" applyAlignment="0" applyProtection="0"/>
  </cellStyleXfs>
  <cellXfs count="411">
    <xf numFmtId="0" fontId="0" fillId="0" borderId="0" xfId="0"/>
    <xf numFmtId="0" fontId="5" fillId="0" borderId="0" xfId="3" applyFont="1" applyAlignment="1">
      <alignment horizontal="center" vertical="center" wrapText="1"/>
    </xf>
    <xf numFmtId="0" fontId="1" fillId="0" borderId="0" xfId="3"/>
    <xf numFmtId="0" fontId="3" fillId="0" borderId="0" xfId="3" applyFont="1" applyAlignment="1">
      <alignment wrapText="1"/>
    </xf>
    <xf numFmtId="3" fontId="3" fillId="0" borderId="0" xfId="3" applyNumberFormat="1" applyFont="1"/>
    <xf numFmtId="0" fontId="3" fillId="0" borderId="0" xfId="3" applyFont="1"/>
    <xf numFmtId="3" fontId="4" fillId="0" borderId="0" xfId="3" applyNumberFormat="1" applyFont="1" applyAlignment="1">
      <alignment vertical="center"/>
    </xf>
    <xf numFmtId="0" fontId="4" fillId="0" borderId="0" xfId="3" applyFont="1" applyAlignment="1">
      <alignment vertical="center"/>
    </xf>
    <xf numFmtId="0" fontId="4" fillId="0" borderId="15" xfId="3" applyFont="1" applyBorder="1" applyAlignment="1">
      <alignment vertical="center" wrapText="1"/>
    </xf>
    <xf numFmtId="3" fontId="4" fillId="0" borderId="15" xfId="3" applyNumberFormat="1" applyFont="1" applyBorder="1" applyAlignment="1">
      <alignment vertical="center"/>
    </xf>
    <xf numFmtId="0" fontId="4" fillId="0" borderId="0" xfId="3" applyFont="1" applyAlignment="1">
      <alignment vertical="center" wrapText="1"/>
    </xf>
    <xf numFmtId="0" fontId="8" fillId="0" borderId="0" xfId="3" applyFont="1" applyAlignment="1">
      <alignment horizontal="center"/>
    </xf>
    <xf numFmtId="0" fontId="8" fillId="0" borderId="0" xfId="3" applyFont="1"/>
    <xf numFmtId="0" fontId="9" fillId="0" borderId="0" xfId="3" applyFont="1"/>
    <xf numFmtId="0" fontId="3" fillId="0" borderId="18" xfId="3" applyFont="1" applyBorder="1" applyAlignment="1">
      <alignment wrapText="1"/>
    </xf>
    <xf numFmtId="171" fontId="3" fillId="0" borderId="18" xfId="3" applyNumberFormat="1" applyFont="1" applyBorder="1"/>
    <xf numFmtId="3" fontId="4" fillId="0" borderId="22" xfId="3" applyNumberFormat="1" applyFont="1" applyBorder="1" applyAlignment="1">
      <alignment vertical="center"/>
    </xf>
    <xf numFmtId="0" fontId="4" fillId="0" borderId="11" xfId="3" applyFont="1" applyBorder="1" applyAlignment="1">
      <alignment vertical="center" wrapText="1"/>
    </xf>
    <xf numFmtId="3" fontId="4" fillId="0" borderId="11" xfId="3" applyNumberFormat="1" applyFont="1" applyBorder="1" applyAlignment="1">
      <alignment vertical="center"/>
    </xf>
    <xf numFmtId="3" fontId="4" fillId="0" borderId="23" xfId="3" applyNumberFormat="1" applyFont="1" applyBorder="1" applyAlignment="1">
      <alignment vertical="center"/>
    </xf>
    <xf numFmtId="0" fontId="12" fillId="0" borderId="0" xfId="0" applyFont="1"/>
    <xf numFmtId="0" fontId="13" fillId="0" borderId="7" xfId="0" applyFont="1" applyBorder="1" applyAlignment="1">
      <alignment horizontal="center" vertical="center" wrapText="1"/>
    </xf>
    <xf numFmtId="0" fontId="11" fillId="0" borderId="7" xfId="0" applyFont="1" applyBorder="1" applyAlignment="1">
      <alignment horizontal="center" vertical="center" wrapText="1"/>
    </xf>
    <xf numFmtId="0" fontId="12" fillId="0" borderId="0" xfId="0" applyFont="1" applyAlignment="1">
      <alignment horizontal="center"/>
    </xf>
    <xf numFmtId="0" fontId="14" fillId="0" borderId="0" xfId="0" applyFont="1"/>
    <xf numFmtId="0" fontId="14" fillId="0" borderId="0" xfId="0" applyFont="1" applyAlignment="1">
      <alignment horizontal="center"/>
    </xf>
    <xf numFmtId="0" fontId="15" fillId="0" borderId="7" xfId="0" applyFont="1" applyBorder="1" applyAlignment="1">
      <alignment horizontal="center" vertical="center" wrapText="1"/>
    </xf>
    <xf numFmtId="0" fontId="11" fillId="0" borderId="7" xfId="0" applyFont="1" applyBorder="1" applyAlignment="1">
      <alignment horizontal="left" vertical="center" wrapText="1"/>
    </xf>
    <xf numFmtId="0" fontId="15" fillId="0" borderId="7" xfId="0" applyFont="1" applyBorder="1" applyAlignment="1">
      <alignment horizontal="left" vertical="center" wrapText="1"/>
    </xf>
    <xf numFmtId="0" fontId="10" fillId="0" borderId="7" xfId="0" applyFont="1" applyBorder="1" applyAlignment="1">
      <alignment horizontal="center" vertical="center"/>
    </xf>
    <xf numFmtId="0" fontId="16" fillId="0" borderId="0" xfId="0" applyFont="1"/>
    <xf numFmtId="0" fontId="4" fillId="0" borderId="24" xfId="3" applyFont="1" applyBorder="1" applyAlignment="1">
      <alignment vertical="center" wrapText="1"/>
    </xf>
    <xf numFmtId="0" fontId="4" fillId="0" borderId="24" xfId="3" applyFont="1" applyBorder="1" applyAlignment="1">
      <alignment vertical="center"/>
    </xf>
    <xf numFmtId="171" fontId="4" fillId="0" borderId="24" xfId="3" applyNumberFormat="1" applyFont="1" applyBorder="1" applyAlignment="1">
      <alignment vertical="center"/>
    </xf>
    <xf numFmtId="0" fontId="4" fillId="0" borderId="15" xfId="3" applyFont="1" applyBorder="1" applyAlignment="1">
      <alignment horizontal="center" vertical="center" wrapText="1"/>
    </xf>
    <xf numFmtId="0" fontId="4" fillId="0" borderId="24" xfId="3" applyFont="1" applyBorder="1" applyAlignment="1">
      <alignment horizontal="center" vertical="center" wrapText="1"/>
    </xf>
    <xf numFmtId="0" fontId="18" fillId="0" borderId="0" xfId="0" applyFont="1"/>
    <xf numFmtId="0" fontId="11" fillId="0" borderId="0" xfId="0" applyFont="1" applyAlignment="1">
      <alignment horizontal="left" vertical="center"/>
    </xf>
    <xf numFmtId="0" fontId="12" fillId="0" borderId="25" xfId="0" applyFont="1" applyBorder="1"/>
    <xf numFmtId="0" fontId="11" fillId="0" borderId="0" xfId="0" applyFont="1" applyAlignment="1">
      <alignment horizontal="center" vertical="center"/>
    </xf>
    <xf numFmtId="0" fontId="22" fillId="0" borderId="0" xfId="0" applyFont="1"/>
    <xf numFmtId="0" fontId="15" fillId="0" borderId="0" xfId="0" applyFont="1"/>
    <xf numFmtId="0" fontId="11" fillId="0" borderId="0" xfId="0" applyFont="1" applyAlignment="1">
      <alignment horizontal="left" wrapText="1"/>
    </xf>
    <xf numFmtId="0" fontId="11" fillId="0" borderId="0" xfId="0" applyFont="1" applyAlignment="1">
      <alignment horizontal="center" wrapText="1"/>
    </xf>
    <xf numFmtId="0" fontId="10" fillId="0" borderId="0" xfId="0" applyFont="1"/>
    <xf numFmtId="0" fontId="23" fillId="0" borderId="0" xfId="0" applyFont="1"/>
    <xf numFmtId="0" fontId="10" fillId="0" borderId="0" xfId="0" applyFont="1" applyAlignment="1">
      <alignment horizontal="justify"/>
    </xf>
    <xf numFmtId="0" fontId="25" fillId="0" borderId="0" xfId="0" applyFont="1"/>
    <xf numFmtId="0" fontId="24" fillId="0" borderId="0" xfId="0" applyFont="1" applyAlignment="1">
      <alignment horizontal="right" wrapText="1"/>
    </xf>
    <xf numFmtId="0" fontId="24" fillId="0" borderId="0" xfId="0" quotePrefix="1" applyFont="1" applyAlignment="1">
      <alignment horizontal="left" wrapText="1"/>
    </xf>
    <xf numFmtId="0" fontId="25" fillId="0" borderId="0" xfId="0" applyFont="1" applyAlignment="1">
      <alignment horizontal="left" wrapText="1"/>
    </xf>
    <xf numFmtId="0" fontId="13" fillId="0" borderId="0" xfId="0" applyFont="1" applyAlignment="1">
      <alignment horizontal="left" wrapText="1"/>
    </xf>
    <xf numFmtId="4" fontId="24" fillId="0" borderId="0" xfId="0" applyNumberFormat="1" applyFont="1" applyAlignment="1">
      <alignment wrapText="1"/>
    </xf>
    <xf numFmtId="0" fontId="25" fillId="0" borderId="0" xfId="0" applyFont="1" applyAlignment="1">
      <alignment horizontal="center"/>
    </xf>
    <xf numFmtId="4" fontId="25" fillId="0" borderId="0" xfId="0" applyNumberFormat="1" applyFont="1" applyAlignment="1">
      <alignment horizontal="left" wrapText="1"/>
    </xf>
    <xf numFmtId="0" fontId="13" fillId="0" borderId="0" xfId="0" applyFont="1" applyAlignment="1">
      <alignment horizontal="right" wrapText="1"/>
    </xf>
    <xf numFmtId="0" fontId="27" fillId="0" borderId="0" xfId="0" applyFont="1"/>
    <xf numFmtId="4" fontId="25" fillId="0" borderId="0" xfId="0" applyNumberFormat="1" applyFont="1" applyAlignment="1">
      <alignment wrapText="1"/>
    </xf>
    <xf numFmtId="0" fontId="11" fillId="0" borderId="0" xfId="0" applyFont="1" applyAlignment="1">
      <alignment horizontal="left" vertical="center" wrapText="1"/>
    </xf>
    <xf numFmtId="0" fontId="11" fillId="0" borderId="0" xfId="0" applyFont="1"/>
    <xf numFmtId="0" fontId="25" fillId="0" borderId="0" xfId="0" applyFont="1" applyAlignment="1">
      <alignment horizontal="left" vertical="center" wrapText="1"/>
    </xf>
    <xf numFmtId="0" fontId="19" fillId="0" borderId="7" xfId="0" applyFont="1" applyBorder="1" applyAlignment="1">
      <alignment horizontal="center" vertical="center" wrapText="1"/>
    </xf>
    <xf numFmtId="0" fontId="28" fillId="0" borderId="0" xfId="0" applyFont="1" applyAlignment="1">
      <alignment horizontal="center" vertical="center"/>
    </xf>
    <xf numFmtId="3" fontId="15" fillId="0" borderId="8" xfId="0" applyNumberFormat="1" applyFont="1" applyBorder="1" applyAlignment="1">
      <alignment horizontal="center" vertical="center" wrapText="1"/>
    </xf>
    <xf numFmtId="0" fontId="15" fillId="0" borderId="8" xfId="0" applyFont="1" applyBorder="1" applyAlignment="1">
      <alignment horizontal="center" vertical="center" wrapText="1"/>
    </xf>
    <xf numFmtId="4" fontId="15" fillId="0" borderId="8" xfId="0" applyNumberFormat="1" applyFont="1" applyBorder="1" applyAlignment="1">
      <alignment horizontal="center" vertical="center" wrapText="1"/>
    </xf>
    <xf numFmtId="9" fontId="15" fillId="0" borderId="8" xfId="0" applyNumberFormat="1" applyFont="1" applyBorder="1" applyAlignment="1">
      <alignment horizontal="center" vertical="center" wrapText="1"/>
    </xf>
    <xf numFmtId="0" fontId="15" fillId="0" borderId="8" xfId="0" applyFont="1" applyBorder="1" applyAlignment="1">
      <alignment horizontal="left" vertical="center" wrapText="1"/>
    </xf>
    <xf numFmtId="0" fontId="12" fillId="0" borderId="0" xfId="0" applyFont="1" applyAlignment="1">
      <alignment horizontal="center" vertical="center"/>
    </xf>
    <xf numFmtId="0" fontId="11" fillId="3" borderId="7" xfId="0" applyFont="1" applyFill="1" applyBorder="1" applyAlignment="1">
      <alignment horizontal="center" vertical="center" wrapText="1"/>
    </xf>
    <xf numFmtId="3" fontId="11" fillId="3" borderId="7" xfId="0" applyNumberFormat="1" applyFont="1" applyFill="1" applyBorder="1" applyAlignment="1">
      <alignment horizontal="center" vertical="center" wrapText="1"/>
    </xf>
    <xf numFmtId="0" fontId="16" fillId="3" borderId="0" xfId="0" applyFont="1" applyFill="1"/>
    <xf numFmtId="0" fontId="11" fillId="0" borderId="13" xfId="0" applyFont="1" applyBorder="1" applyAlignment="1">
      <alignment horizontal="left" vertical="top" wrapText="1"/>
    </xf>
    <xf numFmtId="0" fontId="15" fillId="0" borderId="13" xfId="0" applyFont="1" applyBorder="1" applyAlignment="1">
      <alignment horizontal="center" vertical="center" wrapText="1"/>
    </xf>
    <xf numFmtId="0" fontId="11" fillId="3" borderId="7" xfId="0" applyFont="1" applyFill="1" applyBorder="1" applyAlignment="1">
      <alignment horizontal="left" vertical="center" wrapText="1"/>
    </xf>
    <xf numFmtId="0" fontId="11" fillId="0" borderId="1" xfId="0" applyFont="1" applyBorder="1" applyAlignment="1">
      <alignment horizontal="center" vertical="center" wrapText="1"/>
    </xf>
    <xf numFmtId="0" fontId="11" fillId="0" borderId="1" xfId="0" applyFont="1" applyBorder="1" applyAlignment="1">
      <alignment horizontal="left" vertical="center" wrapText="1"/>
    </xf>
    <xf numFmtId="0" fontId="15" fillId="0" borderId="12" xfId="0" applyFont="1" applyBorder="1" applyAlignment="1">
      <alignment horizontal="center" vertical="center" wrapText="1"/>
    </xf>
    <xf numFmtId="0" fontId="11" fillId="0" borderId="13" xfId="0" applyFont="1" applyBorder="1" applyAlignment="1">
      <alignment horizontal="center" vertical="top" wrapText="1"/>
    </xf>
    <xf numFmtId="0" fontId="11" fillId="0" borderId="13" xfId="0" applyFont="1" applyBorder="1" applyAlignment="1">
      <alignment horizontal="left" vertical="center" wrapText="1"/>
    </xf>
    <xf numFmtId="0" fontId="13" fillId="0" borderId="1" xfId="0" applyFont="1" applyBorder="1" applyAlignment="1">
      <alignment horizontal="left" wrapText="1"/>
    </xf>
    <xf numFmtId="0" fontId="13" fillId="0" borderId="1" xfId="0" applyFont="1" applyBorder="1" applyAlignment="1">
      <alignment horizontal="center" wrapText="1"/>
    </xf>
    <xf numFmtId="0" fontId="30" fillId="0" borderId="7" xfId="0" applyFont="1" applyBorder="1" applyAlignment="1">
      <alignment horizontal="center" vertical="center" wrapText="1"/>
    </xf>
    <xf numFmtId="0" fontId="28" fillId="0" borderId="0" xfId="0" applyFont="1"/>
    <xf numFmtId="0" fontId="13" fillId="0" borderId="7" xfId="0" applyFont="1" applyBorder="1" applyAlignment="1">
      <alignment horizontal="left" vertical="center"/>
    </xf>
    <xf numFmtId="0" fontId="31" fillId="0" borderId="7" xfId="0" applyFont="1" applyBorder="1" applyAlignment="1">
      <alignment vertical="center"/>
    </xf>
    <xf numFmtId="0" fontId="31" fillId="0" borderId="7" xfId="0" applyFont="1" applyBorder="1" applyAlignment="1">
      <alignment horizontal="center" vertical="center"/>
    </xf>
    <xf numFmtId="166" fontId="13" fillId="0" borderId="7" xfId="0" applyNumberFormat="1" applyFont="1" applyBorder="1" applyAlignment="1">
      <alignment horizontal="center" vertical="center"/>
    </xf>
    <xf numFmtId="0" fontId="25" fillId="0" borderId="7" xfId="0" applyFont="1" applyBorder="1" applyAlignment="1">
      <alignment horizontal="left" vertical="center" wrapText="1"/>
    </xf>
    <xf numFmtId="0" fontId="12" fillId="0" borderId="0" xfId="0" applyFont="1" applyAlignment="1">
      <alignment vertical="center"/>
    </xf>
    <xf numFmtId="0" fontId="25" fillId="0" borderId="2" xfId="0" applyFont="1" applyBorder="1" applyAlignment="1">
      <alignment horizontal="center" vertical="center" wrapText="1"/>
    </xf>
    <xf numFmtId="0" fontId="25" fillId="0" borderId="2" xfId="0" applyFont="1" applyBorder="1" applyAlignment="1">
      <alignment horizontal="left" vertical="center" wrapText="1"/>
    </xf>
    <xf numFmtId="165" fontId="25" fillId="0" borderId="2" xfId="1" applyFont="1" applyBorder="1" applyAlignment="1">
      <alignment horizontal="center" vertical="center"/>
    </xf>
    <xf numFmtId="0" fontId="25" fillId="0" borderId="2" xfId="0" applyFont="1" applyBorder="1" applyAlignment="1">
      <alignment horizontal="center" vertical="center"/>
    </xf>
    <xf numFmtId="166" fontId="25" fillId="0" borderId="2" xfId="0" applyNumberFormat="1" applyFont="1" applyBorder="1" applyAlignment="1">
      <alignment horizontal="center" vertical="center"/>
    </xf>
    <xf numFmtId="0" fontId="25" fillId="0" borderId="7" xfId="0" applyFont="1" applyBorder="1" applyAlignment="1">
      <alignment vertical="center" wrapText="1"/>
    </xf>
    <xf numFmtId="0" fontId="25" fillId="0" borderId="2" xfId="0" quotePrefix="1" applyFont="1" applyBorder="1" applyAlignment="1">
      <alignment horizontal="center" vertical="center" wrapText="1"/>
    </xf>
    <xf numFmtId="166" fontId="25" fillId="0" borderId="7" xfId="0" applyNumberFormat="1" applyFont="1" applyBorder="1" applyAlignment="1">
      <alignment horizontal="center" vertical="center"/>
    </xf>
    <xf numFmtId="9" fontId="25" fillId="0" borderId="7" xfId="1" applyNumberFormat="1" applyFont="1" applyBorder="1" applyAlignment="1">
      <alignment vertical="center" wrapText="1"/>
    </xf>
    <xf numFmtId="166" fontId="25" fillId="0" borderId="7" xfId="1" applyNumberFormat="1" applyFont="1" applyBorder="1" applyAlignment="1">
      <alignment horizontal="left" vertical="center" wrapText="1"/>
    </xf>
    <xf numFmtId="0" fontId="13" fillId="3" borderId="7" xfId="0" applyFont="1" applyFill="1" applyBorder="1" applyAlignment="1">
      <alignment horizontal="center" vertical="center" wrapText="1"/>
    </xf>
    <xf numFmtId="0" fontId="31" fillId="3" borderId="7" xfId="0" applyFont="1" applyFill="1" applyBorder="1" applyAlignment="1">
      <alignment horizontal="left" vertical="center"/>
    </xf>
    <xf numFmtId="0" fontId="12" fillId="3" borderId="0" xfId="0" applyFont="1" applyFill="1" applyAlignment="1">
      <alignment vertical="center"/>
    </xf>
    <xf numFmtId="0" fontId="13" fillId="0" borderId="7" xfId="0" applyFont="1" applyBorder="1" applyAlignment="1">
      <alignment horizontal="center" vertical="center"/>
    </xf>
    <xf numFmtId="0" fontId="16" fillId="0" borderId="0" xfId="0" applyFont="1" applyAlignment="1">
      <alignment horizontal="center" vertical="center"/>
    </xf>
    <xf numFmtId="0" fontId="25" fillId="0" borderId="14" xfId="0" applyFont="1" applyBorder="1" applyAlignment="1">
      <alignment horizontal="center" vertical="center"/>
    </xf>
    <xf numFmtId="168" fontId="25" fillId="0" borderId="14" xfId="0" applyNumberFormat="1" applyFont="1" applyBorder="1" applyAlignment="1">
      <alignment horizontal="center" vertical="center"/>
    </xf>
    <xf numFmtId="170" fontId="25" fillId="0" borderId="14" xfId="1" applyNumberFormat="1" applyFont="1" applyFill="1" applyBorder="1" applyAlignment="1">
      <alignment horizontal="center" vertical="center" shrinkToFit="1"/>
    </xf>
    <xf numFmtId="170" fontId="25" fillId="0" borderId="14" xfId="1" applyNumberFormat="1" applyFont="1" applyFill="1" applyBorder="1" applyAlignment="1">
      <alignment horizontal="center" vertical="center"/>
    </xf>
    <xf numFmtId="0" fontId="31" fillId="0" borderId="14" xfId="0" applyFont="1" applyBorder="1" applyAlignment="1">
      <alignment horizontal="left"/>
    </xf>
    <xf numFmtId="170" fontId="12" fillId="0" borderId="0" xfId="1" applyNumberFormat="1" applyFont="1" applyAlignment="1"/>
    <xf numFmtId="0" fontId="31" fillId="3" borderId="7" xfId="0" applyFont="1" applyFill="1" applyBorder="1" applyAlignment="1">
      <alignment horizontal="left"/>
    </xf>
    <xf numFmtId="0" fontId="12" fillId="3" borderId="0" xfId="0" applyFont="1" applyFill="1"/>
    <xf numFmtId="170" fontId="12" fillId="3" borderId="0" xfId="1" applyNumberFormat="1" applyFont="1" applyFill="1" applyAlignment="1"/>
    <xf numFmtId="0" fontId="13" fillId="4" borderId="7" xfId="0" applyFont="1" applyFill="1" applyBorder="1" applyAlignment="1">
      <alignment horizontal="left" vertical="center" wrapText="1"/>
    </xf>
    <xf numFmtId="0" fontId="12" fillId="4" borderId="0" xfId="0" applyFont="1" applyFill="1"/>
    <xf numFmtId="0" fontId="32" fillId="2" borderId="13" xfId="0" applyFont="1" applyFill="1" applyBorder="1" applyAlignment="1">
      <alignment horizontal="right" vertical="center" wrapText="1"/>
    </xf>
    <xf numFmtId="0" fontId="31" fillId="2" borderId="0" xfId="0" applyFont="1" applyFill="1"/>
    <xf numFmtId="0" fontId="33" fillId="0" borderId="0" xfId="0" applyFont="1"/>
    <xf numFmtId="0" fontId="15" fillId="0" borderId="0" xfId="0" applyFont="1" applyAlignment="1">
      <alignment horizontal="center"/>
    </xf>
    <xf numFmtId="0" fontId="12" fillId="0" borderId="0" xfId="0" applyFont="1" applyAlignment="1">
      <alignment horizontal="left"/>
    </xf>
    <xf numFmtId="0" fontId="11" fillId="0" borderId="0" xfId="0" applyFont="1" applyAlignment="1">
      <alignment horizontal="center" vertical="center" wrapText="1"/>
    </xf>
    <xf numFmtId="0" fontId="15" fillId="0" borderId="0" xfId="0" applyFont="1" applyAlignment="1">
      <alignment horizontal="center" vertical="center" wrapText="1"/>
    </xf>
    <xf numFmtId="0" fontId="25" fillId="0" borderId="0" xfId="0" applyFont="1" applyAlignment="1">
      <alignment horizontal="center" vertical="center" wrapText="1"/>
    </xf>
    <xf numFmtId="0" fontId="15"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31" fillId="3" borderId="7" xfId="0" applyFont="1" applyFill="1" applyBorder="1" applyAlignment="1">
      <alignment horizontal="center" vertical="center"/>
    </xf>
    <xf numFmtId="0" fontId="13" fillId="0" borderId="0" xfId="0" applyFont="1" applyAlignment="1">
      <alignment horizontal="center" vertical="center"/>
    </xf>
    <xf numFmtId="0" fontId="13" fillId="4" borderId="4" xfId="0" applyFont="1" applyFill="1" applyBorder="1" applyAlignment="1">
      <alignment horizontal="center" vertical="center"/>
    </xf>
    <xf numFmtId="0" fontId="32" fillId="2" borderId="13" xfId="0" applyFont="1" applyFill="1" applyBorder="1" applyAlignment="1">
      <alignment horizontal="center" vertical="center" wrapText="1"/>
    </xf>
    <xf numFmtId="165" fontId="25" fillId="0" borderId="2" xfId="1" applyFont="1" applyBorder="1" applyAlignment="1">
      <alignment horizontal="right" vertical="center"/>
    </xf>
    <xf numFmtId="2" fontId="25" fillId="0" borderId="2" xfId="0" quotePrefix="1" applyNumberFormat="1" applyFont="1" applyBorder="1" applyAlignment="1">
      <alignment horizontal="right" vertical="center" wrapText="1"/>
    </xf>
    <xf numFmtId="0" fontId="25" fillId="0" borderId="2" xfId="0" quotePrefix="1" applyFont="1" applyBorder="1" applyAlignment="1">
      <alignment horizontal="left" vertical="center" wrapText="1"/>
    </xf>
    <xf numFmtId="0" fontId="4" fillId="0" borderId="0" xfId="0" applyFont="1" applyAlignment="1">
      <alignment horizontal="justify" vertical="center"/>
    </xf>
    <xf numFmtId="0" fontId="6" fillId="0" borderId="0" xfId="0" applyFont="1" applyAlignment="1">
      <alignment horizontal="justify" vertical="center"/>
    </xf>
    <xf numFmtId="169" fontId="25" fillId="0" borderId="7" xfId="0" applyNumberFormat="1" applyFont="1" applyBorder="1" applyAlignment="1">
      <alignment horizontal="center" vertical="center"/>
    </xf>
    <xf numFmtId="0" fontId="25" fillId="0" borderId="7" xfId="0" quotePrefix="1" applyFont="1" applyBorder="1" applyAlignment="1">
      <alignment horizontal="left" vertical="center" wrapText="1"/>
    </xf>
    <xf numFmtId="0" fontId="15" fillId="0" borderId="7" xfId="0" applyFont="1" applyBorder="1" applyAlignment="1">
      <alignment horizontal="center" vertical="top" wrapText="1"/>
    </xf>
    <xf numFmtId="0" fontId="25" fillId="0" borderId="7" xfId="0" applyFont="1" applyBorder="1" applyAlignment="1">
      <alignment vertical="center"/>
    </xf>
    <xf numFmtId="168" fontId="25" fillId="0" borderId="7" xfId="1" applyNumberFormat="1" applyFont="1" applyBorder="1" applyAlignment="1">
      <alignment horizontal="center" vertical="center"/>
    </xf>
    <xf numFmtId="0" fontId="25" fillId="0" borderId="7" xfId="0" quotePrefix="1" applyFont="1" applyBorder="1" applyAlignment="1">
      <alignment horizontal="center" vertical="center" wrapText="1"/>
    </xf>
    <xf numFmtId="0" fontId="35" fillId="0" borderId="0" xfId="0" applyFont="1" applyAlignment="1">
      <alignment vertical="center"/>
    </xf>
    <xf numFmtId="0" fontId="4" fillId="0" borderId="0" xfId="0" applyFont="1" applyAlignment="1">
      <alignment vertical="center"/>
    </xf>
    <xf numFmtId="0" fontId="23" fillId="0" borderId="0" xfId="0" applyFont="1" applyAlignment="1">
      <alignment wrapText="1"/>
    </xf>
    <xf numFmtId="0" fontId="24" fillId="0" borderId="0" xfId="0" quotePrefix="1" applyFont="1" applyAlignment="1">
      <alignment horizontal="right" wrapText="1"/>
    </xf>
    <xf numFmtId="0" fontId="31" fillId="0" borderId="0" xfId="0" applyFont="1" applyAlignment="1">
      <alignment vertical="center"/>
    </xf>
    <xf numFmtId="0" fontId="11" fillId="0" borderId="0" xfId="0" applyFont="1" applyAlignment="1">
      <alignment wrapText="1"/>
    </xf>
    <xf numFmtId="166" fontId="25" fillId="0" borderId="7" xfId="1" applyNumberFormat="1" applyFont="1" applyBorder="1" applyAlignment="1">
      <alignment horizontal="center" vertical="center" wrapText="1"/>
    </xf>
    <xf numFmtId="0" fontId="25" fillId="0" borderId="0" xfId="0" quotePrefix="1" applyFont="1" applyAlignment="1">
      <alignment horizontal="right" vertical="center" wrapText="1"/>
    </xf>
    <xf numFmtId="0" fontId="15" fillId="0" borderId="0" xfId="0" quotePrefix="1" applyFont="1" applyAlignment="1">
      <alignment horizontal="right"/>
    </xf>
    <xf numFmtId="0" fontId="15" fillId="0" borderId="7" xfId="0" applyFont="1" applyBorder="1" applyAlignment="1">
      <alignment vertical="center" wrapText="1"/>
    </xf>
    <xf numFmtId="0" fontId="15" fillId="0" borderId="0" xfId="0" applyFont="1" applyAlignment="1">
      <alignment horizontal="left" vertical="center" wrapText="1"/>
    </xf>
    <xf numFmtId="0" fontId="24" fillId="0" borderId="2" xfId="0" applyFont="1" applyBorder="1" applyAlignment="1">
      <alignment horizontal="center" vertical="center" wrapText="1"/>
    </xf>
    <xf numFmtId="0" fontId="24" fillId="0" borderId="2" xfId="0" applyFont="1" applyBorder="1" applyAlignment="1">
      <alignment horizontal="left" vertical="center" wrapText="1"/>
    </xf>
    <xf numFmtId="0" fontId="24" fillId="0" borderId="2" xfId="0" applyFont="1" applyBorder="1" applyAlignment="1">
      <alignment horizontal="center" vertical="center"/>
    </xf>
    <xf numFmtId="165" fontId="24" fillId="0" borderId="2" xfId="1" applyFont="1" applyBorder="1" applyAlignment="1">
      <alignment horizontal="center" vertical="center"/>
    </xf>
    <xf numFmtId="166" fontId="25" fillId="0" borderId="2" xfId="1" applyNumberFormat="1" applyFont="1" applyBorder="1" applyAlignment="1">
      <alignment horizontal="center" vertical="center" wrapText="1"/>
    </xf>
    <xf numFmtId="3" fontId="13" fillId="0" borderId="7" xfId="0" applyNumberFormat="1" applyFont="1" applyBorder="1" applyAlignment="1">
      <alignment horizontal="right" vertical="center"/>
    </xf>
    <xf numFmtId="3" fontId="13" fillId="3" borderId="7" xfId="0" applyNumberFormat="1" applyFont="1" applyFill="1" applyBorder="1" applyAlignment="1">
      <alignment horizontal="right" vertical="center"/>
    </xf>
    <xf numFmtId="166" fontId="25" fillId="0" borderId="2" xfId="0" applyNumberFormat="1" applyFont="1" applyBorder="1" applyAlignment="1">
      <alignment horizontal="right" vertical="center"/>
    </xf>
    <xf numFmtId="3" fontId="15" fillId="0" borderId="8" xfId="0" applyNumberFormat="1" applyFont="1" applyBorder="1" applyAlignment="1">
      <alignment vertical="center" wrapText="1"/>
    </xf>
    <xf numFmtId="3" fontId="11" fillId="3" borderId="7" xfId="0" applyNumberFormat="1" applyFont="1" applyFill="1" applyBorder="1" applyAlignment="1">
      <alignment vertical="center" wrapText="1"/>
    </xf>
    <xf numFmtId="3" fontId="13" fillId="4" borderId="7" xfId="0" applyNumberFormat="1" applyFont="1" applyFill="1" applyBorder="1" applyAlignment="1">
      <alignment horizontal="right" vertical="center"/>
    </xf>
    <xf numFmtId="1" fontId="13" fillId="3" borderId="7" xfId="1" applyNumberFormat="1" applyFont="1" applyFill="1" applyBorder="1" applyAlignment="1">
      <alignment horizontal="right" vertical="center"/>
    </xf>
    <xf numFmtId="1" fontId="13" fillId="4" borderId="7" xfId="0" applyNumberFormat="1" applyFont="1" applyFill="1" applyBorder="1" applyAlignment="1">
      <alignment horizontal="right" vertical="center" wrapText="1"/>
    </xf>
    <xf numFmtId="3" fontId="11" fillId="0" borderId="7" xfId="0" applyNumberFormat="1" applyFont="1" applyBorder="1" applyAlignment="1">
      <alignment horizontal="right" vertical="center" wrapText="1"/>
    </xf>
    <xf numFmtId="3" fontId="15" fillId="0" borderId="8" xfId="0" applyNumberFormat="1" applyFont="1" applyBorder="1" applyAlignment="1">
      <alignment horizontal="right" vertical="center" wrapText="1"/>
    </xf>
    <xf numFmtId="3" fontId="11" fillId="0" borderId="8" xfId="0" applyNumberFormat="1" applyFont="1" applyBorder="1" applyAlignment="1">
      <alignment horizontal="right" vertical="center" wrapText="1"/>
    </xf>
    <xf numFmtId="166" fontId="25" fillId="0" borderId="7" xfId="0" applyNumberFormat="1" applyFont="1" applyBorder="1" applyAlignment="1">
      <alignment horizontal="right" vertical="center"/>
    </xf>
    <xf numFmtId="3" fontId="11" fillId="3" borderId="7" xfId="0" applyNumberFormat="1" applyFont="1" applyFill="1" applyBorder="1" applyAlignment="1">
      <alignment horizontal="right" vertical="center" wrapText="1"/>
    </xf>
    <xf numFmtId="1" fontId="13" fillId="0" borderId="7" xfId="0" applyNumberFormat="1" applyFont="1" applyBorder="1" applyAlignment="1">
      <alignment horizontal="center" vertical="center" wrapText="1"/>
    </xf>
    <xf numFmtId="1" fontId="13" fillId="0" borderId="7" xfId="0" applyNumberFormat="1" applyFont="1" applyBorder="1" applyAlignment="1">
      <alignment horizontal="right" vertical="center"/>
    </xf>
    <xf numFmtId="1" fontId="25" fillId="0" borderId="2" xfId="0" applyNumberFormat="1" applyFont="1" applyBorder="1" applyAlignment="1">
      <alignment horizontal="right" vertical="center"/>
    </xf>
    <xf numFmtId="1" fontId="25" fillId="0" borderId="7" xfId="0" applyNumberFormat="1" applyFont="1" applyBorder="1" applyAlignment="1">
      <alignment horizontal="right" vertical="center"/>
    </xf>
    <xf numFmtId="1" fontId="13" fillId="3" borderId="7" xfId="0" applyNumberFormat="1" applyFont="1" applyFill="1" applyBorder="1" applyAlignment="1">
      <alignment horizontal="right" vertical="center"/>
    </xf>
    <xf numFmtId="1" fontId="13" fillId="0" borderId="0" xfId="0" applyNumberFormat="1" applyFont="1" applyAlignment="1">
      <alignment horizontal="right" wrapText="1"/>
    </xf>
    <xf numFmtId="1" fontId="25" fillId="0" borderId="14" xfId="1" applyNumberFormat="1" applyFont="1" applyFill="1" applyBorder="1" applyAlignment="1">
      <alignment horizontal="right" vertical="center"/>
    </xf>
    <xf numFmtId="1" fontId="11" fillId="0" borderId="7" xfId="0" applyNumberFormat="1" applyFont="1" applyBorder="1" applyAlignment="1">
      <alignment horizontal="right" vertical="center" wrapText="1"/>
    </xf>
    <xf numFmtId="1" fontId="11" fillId="3" borderId="7" xfId="0" applyNumberFormat="1" applyFont="1" applyFill="1" applyBorder="1" applyAlignment="1">
      <alignment horizontal="right" vertical="center" wrapText="1"/>
    </xf>
    <xf numFmtId="1" fontId="11" fillId="0" borderId="1" xfId="0" applyNumberFormat="1" applyFont="1" applyBorder="1" applyAlignment="1">
      <alignment horizontal="right" vertical="center" wrapText="1"/>
    </xf>
    <xf numFmtId="1" fontId="11" fillId="0" borderId="13" xfId="0" applyNumberFormat="1" applyFont="1" applyBorder="1" applyAlignment="1">
      <alignment horizontal="right" vertical="center" wrapText="1"/>
    </xf>
    <xf numFmtId="1" fontId="13" fillId="0" borderId="1" xfId="0" applyNumberFormat="1" applyFont="1" applyBorder="1" applyAlignment="1">
      <alignment horizontal="right" wrapText="1"/>
    </xf>
    <xf numFmtId="1" fontId="30" fillId="0" borderId="7" xfId="0" applyNumberFormat="1" applyFont="1" applyBorder="1" applyAlignment="1">
      <alignment horizontal="center" vertical="center" wrapText="1"/>
    </xf>
    <xf numFmtId="3" fontId="25" fillId="0" borderId="2" xfId="0" applyNumberFormat="1" applyFont="1" applyBorder="1" applyAlignment="1">
      <alignment horizontal="right" vertical="center"/>
    </xf>
    <xf numFmtId="3" fontId="25" fillId="0" borderId="7" xfId="0" applyNumberFormat="1" applyFont="1" applyBorder="1" applyAlignment="1">
      <alignment horizontal="right" vertical="center"/>
    </xf>
    <xf numFmtId="0" fontId="11" fillId="0" borderId="13" xfId="0" applyFont="1" applyBorder="1" applyAlignment="1">
      <alignment horizontal="center" vertical="center" wrapText="1"/>
    </xf>
    <xf numFmtId="0" fontId="25" fillId="0" borderId="2" xfId="0" applyFont="1" applyBorder="1" applyAlignment="1">
      <alignment horizontal="left" vertical="center"/>
    </xf>
    <xf numFmtId="0" fontId="15" fillId="0" borderId="2" xfId="0" applyFont="1" applyBorder="1" applyAlignment="1">
      <alignment horizontal="center" vertical="center" wrapText="1"/>
    </xf>
    <xf numFmtId="0" fontId="4" fillId="0" borderId="15" xfId="3" applyFont="1" applyBorder="1" applyAlignment="1">
      <alignment horizontal="center" vertical="center"/>
    </xf>
    <xf numFmtId="3" fontId="4" fillId="0" borderId="15" xfId="3" applyNumberFormat="1" applyFont="1" applyBorder="1" applyAlignment="1">
      <alignment horizontal="center" vertical="center"/>
    </xf>
    <xf numFmtId="171" fontId="4" fillId="0" borderId="15" xfId="3" applyNumberFormat="1" applyFont="1" applyBorder="1" applyAlignment="1">
      <alignment horizontal="center" vertical="center"/>
    </xf>
    <xf numFmtId="166" fontId="2" fillId="0" borderId="7" xfId="2" applyNumberFormat="1" applyFont="1" applyFill="1" applyBorder="1" applyAlignment="1">
      <alignment horizontal="center" vertical="center" wrapText="1"/>
    </xf>
    <xf numFmtId="167" fontId="2" fillId="0" borderId="7" xfId="2" applyNumberFormat="1" applyFont="1" applyFill="1" applyBorder="1" applyAlignment="1">
      <alignment horizontal="center" vertical="center" wrapText="1"/>
    </xf>
    <xf numFmtId="0" fontId="1" fillId="0" borderId="2" xfId="3" applyBorder="1" applyAlignment="1">
      <alignment horizontal="center"/>
    </xf>
    <xf numFmtId="0" fontId="4" fillId="0" borderId="21" xfId="3" applyFont="1" applyBorder="1" applyAlignment="1">
      <alignment horizontal="center" vertical="center"/>
    </xf>
    <xf numFmtId="3" fontId="4" fillId="0" borderId="30" xfId="3" applyNumberFormat="1" applyFont="1" applyBorder="1" applyAlignment="1">
      <alignment vertical="center"/>
    </xf>
    <xf numFmtId="0" fontId="4" fillId="0" borderId="30" xfId="3" applyFont="1" applyBorder="1" applyAlignment="1">
      <alignment vertical="center"/>
    </xf>
    <xf numFmtId="0" fontId="4" fillId="0" borderId="31" xfId="3" applyFont="1" applyBorder="1" applyAlignment="1">
      <alignment vertical="center"/>
    </xf>
    <xf numFmtId="171" fontId="3" fillId="0" borderId="32" xfId="3" applyNumberFormat="1" applyFont="1" applyBorder="1"/>
    <xf numFmtId="171" fontId="3" fillId="0" borderId="0" xfId="3" applyNumberFormat="1" applyFont="1"/>
    <xf numFmtId="0" fontId="31" fillId="0" borderId="2" xfId="0" applyFont="1" applyBorder="1" applyAlignment="1">
      <alignment vertical="center"/>
    </xf>
    <xf numFmtId="3" fontId="15" fillId="0" borderId="2" xfId="0" applyNumberFormat="1" applyFont="1" applyBorder="1" applyAlignment="1">
      <alignment horizontal="right" vertical="center" wrapText="1"/>
    </xf>
    <xf numFmtId="0" fontId="1" fillId="0" borderId="0" xfId="3" applyAlignment="1">
      <alignment horizontal="center" vertical="center"/>
    </xf>
    <xf numFmtId="0" fontId="3" fillId="0" borderId="17" xfId="3" applyFont="1" applyBorder="1" applyAlignment="1">
      <alignment horizontal="center" vertical="center"/>
    </xf>
    <xf numFmtId="0" fontId="1" fillId="0" borderId="0" xfId="3" applyAlignment="1">
      <alignment horizontal="center"/>
    </xf>
    <xf numFmtId="2" fontId="4" fillId="0" borderId="15" xfId="3" applyNumberFormat="1" applyFont="1" applyBorder="1" applyAlignment="1">
      <alignment horizontal="center" vertical="center" wrapText="1"/>
    </xf>
    <xf numFmtId="0" fontId="1" fillId="0" borderId="33" xfId="3" applyBorder="1" applyAlignment="1">
      <alignment horizontal="center" vertical="center"/>
    </xf>
    <xf numFmtId="0" fontId="1" fillId="0" borderId="19" xfId="3" applyBorder="1" applyAlignment="1">
      <alignment horizontal="center"/>
    </xf>
    <xf numFmtId="3" fontId="4" fillId="0" borderId="34" xfId="3" applyNumberFormat="1" applyFont="1" applyBorder="1" applyAlignment="1">
      <alignment horizontal="center" vertical="center"/>
    </xf>
    <xf numFmtId="3" fontId="4" fillId="0" borderId="34" xfId="3" applyNumberFormat="1" applyFont="1" applyBorder="1" applyAlignment="1">
      <alignment vertical="center"/>
    </xf>
    <xf numFmtId="3" fontId="4" fillId="0" borderId="34" xfId="3" applyNumberFormat="1" applyFont="1" applyBorder="1" applyAlignment="1">
      <alignment vertical="center" wrapText="1"/>
    </xf>
    <xf numFmtId="0" fontId="4" fillId="0" borderId="34" xfId="3" applyFont="1" applyBorder="1" applyAlignment="1">
      <alignment vertical="center"/>
    </xf>
    <xf numFmtId="0" fontId="4" fillId="0" borderId="34" xfId="3" applyFont="1" applyBorder="1" applyAlignment="1">
      <alignment horizontal="center" vertical="center"/>
    </xf>
    <xf numFmtId="0" fontId="4" fillId="0" borderId="34" xfId="3" applyFont="1" applyBorder="1" applyAlignment="1">
      <alignment vertical="center" wrapText="1"/>
    </xf>
    <xf numFmtId="1" fontId="4" fillId="0" borderId="15" xfId="3" applyNumberFormat="1" applyFont="1" applyBorder="1" applyAlignment="1">
      <alignment horizontal="center" vertical="center"/>
    </xf>
    <xf numFmtId="1" fontId="4" fillId="0" borderId="34" xfId="3" applyNumberFormat="1" applyFont="1" applyBorder="1" applyAlignment="1">
      <alignment horizontal="center" vertical="center"/>
    </xf>
    <xf numFmtId="2" fontId="4" fillId="0" borderId="24" xfId="3" applyNumberFormat="1" applyFont="1" applyBorder="1" applyAlignment="1">
      <alignment horizontal="center" vertical="center" wrapText="1"/>
    </xf>
    <xf numFmtId="0" fontId="3" fillId="0" borderId="36" xfId="3" applyFont="1" applyBorder="1" applyAlignment="1">
      <alignment wrapText="1"/>
    </xf>
    <xf numFmtId="0" fontId="3" fillId="0" borderId="36" xfId="3" applyFont="1" applyBorder="1" applyAlignment="1">
      <alignment horizontal="center" wrapText="1"/>
    </xf>
    <xf numFmtId="0" fontId="3" fillId="0" borderId="36" xfId="3" applyFont="1" applyBorder="1"/>
    <xf numFmtId="171" fontId="3" fillId="0" borderId="36" xfId="3" applyNumberFormat="1" applyFont="1" applyBorder="1" applyAlignment="1">
      <alignment horizontal="center"/>
    </xf>
    <xf numFmtId="171" fontId="3" fillId="0" borderId="35" xfId="3" applyNumberFormat="1" applyFont="1" applyBorder="1" applyAlignment="1">
      <alignment horizontal="center"/>
    </xf>
    <xf numFmtId="168" fontId="25" fillId="0" borderId="2" xfId="1" applyNumberFormat="1" applyFont="1" applyBorder="1" applyAlignment="1">
      <alignment horizontal="center" vertical="center"/>
    </xf>
    <xf numFmtId="165" fontId="25" fillId="0" borderId="2" xfId="1" quotePrefix="1" applyFont="1" applyBorder="1" applyAlignment="1">
      <alignment horizontal="center" vertical="center"/>
    </xf>
    <xf numFmtId="3" fontId="13" fillId="0" borderId="2" xfId="0" applyNumberFormat="1" applyFont="1" applyBorder="1" applyAlignment="1">
      <alignment horizontal="right" vertical="center"/>
    </xf>
    <xf numFmtId="0" fontId="37" fillId="0" borderId="0" xfId="0" applyFont="1"/>
    <xf numFmtId="0" fontId="25" fillId="0" borderId="7" xfId="0" applyFont="1" applyBorder="1" applyAlignment="1">
      <alignment horizontal="center" vertical="center"/>
    </xf>
    <xf numFmtId="0" fontId="14" fillId="0" borderId="0" xfId="0" applyFont="1" applyAlignment="1">
      <alignment vertical="center"/>
    </xf>
    <xf numFmtId="0" fontId="25" fillId="3" borderId="7" xfId="0" applyFont="1" applyFill="1" applyBorder="1" applyAlignment="1">
      <alignment horizontal="center" vertical="center"/>
    </xf>
    <xf numFmtId="0" fontId="25" fillId="3" borderId="7" xfId="0" applyFont="1" applyFill="1" applyBorder="1" applyAlignment="1">
      <alignment horizontal="left" vertical="center"/>
    </xf>
    <xf numFmtId="0" fontId="14" fillId="3" borderId="0" xfId="0" applyFont="1" applyFill="1" applyAlignment="1">
      <alignment vertical="center"/>
    </xf>
    <xf numFmtId="2" fontId="25" fillId="0" borderId="2" xfId="0" applyNumberFormat="1" applyFont="1" applyBorder="1" applyAlignment="1">
      <alignment horizontal="center" vertical="center" wrapText="1"/>
    </xf>
    <xf numFmtId="0" fontId="15" fillId="0" borderId="0" xfId="0" quotePrefix="1" applyFont="1" applyAlignment="1">
      <alignment horizontal="right" vertical="center"/>
    </xf>
    <xf numFmtId="0" fontId="24" fillId="0" borderId="0" xfId="0" quotePrefix="1" applyFont="1"/>
    <xf numFmtId="2" fontId="25" fillId="0" borderId="2" xfId="0" quotePrefix="1" applyNumberFormat="1" applyFont="1" applyBorder="1" applyAlignment="1">
      <alignment horizontal="center" vertical="center" wrapText="1"/>
    </xf>
    <xf numFmtId="172" fontId="25" fillId="0" borderId="2" xfId="0" quotePrefix="1" applyNumberFormat="1" applyFont="1" applyBorder="1" applyAlignment="1">
      <alignment horizontal="center" vertical="center" wrapText="1"/>
    </xf>
    <xf numFmtId="2" fontId="12" fillId="0" borderId="0" xfId="0" applyNumberFormat="1" applyFont="1" applyAlignment="1">
      <alignment vertical="center"/>
    </xf>
    <xf numFmtId="165" fontId="25" fillId="0" borderId="2" xfId="0" quotePrefix="1" applyNumberFormat="1" applyFont="1" applyBorder="1" applyAlignment="1">
      <alignment horizontal="center" vertical="center" wrapText="1"/>
    </xf>
    <xf numFmtId="168" fontId="25" fillId="0" borderId="2" xfId="1" applyNumberFormat="1" applyFont="1" applyBorder="1" applyAlignment="1">
      <alignment horizontal="right" vertical="center"/>
    </xf>
    <xf numFmtId="0" fontId="3" fillId="0" borderId="0" xfId="0" applyFont="1" applyAlignment="1">
      <alignment horizontal="justify" vertical="center"/>
    </xf>
    <xf numFmtId="0" fontId="25" fillId="0" borderId="2" xfId="0" applyFont="1" applyBorder="1" applyAlignment="1">
      <alignment horizontal="right" vertical="center"/>
    </xf>
    <xf numFmtId="2" fontId="25" fillId="0" borderId="2" xfId="1" applyNumberFormat="1" applyFont="1" applyBorder="1" applyAlignment="1">
      <alignment horizontal="center" vertical="center"/>
    </xf>
    <xf numFmtId="165" fontId="25" fillId="0" borderId="2" xfId="1" applyFont="1" applyBorder="1" applyAlignment="1">
      <alignment vertical="center"/>
    </xf>
    <xf numFmtId="0" fontId="39" fillId="0" borderId="0" xfId="0" applyFont="1" applyAlignment="1">
      <alignment horizontal="justify" vertical="center"/>
    </xf>
    <xf numFmtId="0" fontId="25" fillId="0" borderId="2" xfId="0" applyFont="1" applyBorder="1" applyAlignment="1">
      <alignment horizontal="center" vertical="center" wrapText="1"/>
    </xf>
    <xf numFmtId="165" fontId="25" fillId="0" borderId="2" xfId="1" applyNumberFormat="1" applyFont="1" applyBorder="1" applyAlignment="1">
      <alignment horizontal="center" vertical="center"/>
    </xf>
    <xf numFmtId="0" fontId="13" fillId="0" borderId="2" xfId="0" applyFont="1" applyBorder="1" applyAlignment="1">
      <alignment horizontal="center" vertical="center" wrapText="1"/>
    </xf>
    <xf numFmtId="0" fontId="13" fillId="0" borderId="2" xfId="0" applyFont="1" applyBorder="1" applyAlignment="1">
      <alignment horizontal="left" vertical="center"/>
    </xf>
    <xf numFmtId="2" fontId="25" fillId="0" borderId="2" xfId="0" quotePrefix="1" applyNumberFormat="1" applyFont="1" applyBorder="1" applyAlignment="1">
      <alignment vertical="center" wrapText="1"/>
    </xf>
    <xf numFmtId="2" fontId="25" fillId="0" borderId="2" xfId="0" applyNumberFormat="1" applyFont="1" applyBorder="1" applyAlignment="1">
      <alignment horizontal="right" vertical="center" wrapText="1"/>
    </xf>
    <xf numFmtId="4" fontId="24" fillId="0" borderId="0" xfId="0" quotePrefix="1" applyNumberFormat="1" applyFont="1" applyAlignment="1">
      <alignment horizontal="right" wrapText="1"/>
    </xf>
    <xf numFmtId="0" fontId="14" fillId="0" borderId="7" xfId="0" applyFont="1" applyBorder="1" applyAlignment="1">
      <alignment vertical="center"/>
    </xf>
    <xf numFmtId="0" fontId="31" fillId="0" borderId="2" xfId="0" applyFont="1" applyBorder="1" applyAlignment="1">
      <alignment horizontal="center" vertical="center"/>
    </xf>
    <xf numFmtId="3" fontId="11" fillId="0" borderId="2" xfId="0" applyNumberFormat="1" applyFont="1" applyBorder="1" applyAlignment="1">
      <alignment horizontal="right" vertical="center" wrapText="1"/>
    </xf>
    <xf numFmtId="0" fontId="12" fillId="0" borderId="0" xfId="0" applyFont="1" applyAlignment="1">
      <alignment horizontal="center"/>
    </xf>
    <xf numFmtId="0" fontId="13" fillId="0" borderId="1" xfId="0" applyFont="1" applyBorder="1" applyAlignment="1">
      <alignment horizontal="left" wrapText="1"/>
    </xf>
    <xf numFmtId="0" fontId="25" fillId="0" borderId="2" xfId="0" applyFont="1" applyBorder="1" applyAlignment="1">
      <alignment horizontal="center" vertical="center" wrapText="1"/>
    </xf>
    <xf numFmtId="0" fontId="25" fillId="0" borderId="14" xfId="0" applyFont="1" applyBorder="1" applyAlignment="1">
      <alignment horizontal="center" vertical="center" wrapText="1"/>
    </xf>
    <xf numFmtId="0" fontId="11" fillId="0" borderId="1" xfId="0" applyFont="1" applyBorder="1" applyAlignment="1">
      <alignment horizontal="left" vertical="center" wrapText="1"/>
    </xf>
    <xf numFmtId="0" fontId="11" fillId="0" borderId="0" xfId="0" applyFont="1" applyAlignment="1">
      <alignment horizontal="left" wrapText="1"/>
    </xf>
    <xf numFmtId="0" fontId="11" fillId="0" borderId="0" xfId="0" applyFont="1" applyAlignment="1">
      <alignment horizontal="left" vertical="center" wrapText="1"/>
    </xf>
    <xf numFmtId="0" fontId="25" fillId="0" borderId="0" xfId="0" applyFont="1" applyAlignment="1">
      <alignment horizontal="left" vertical="center" wrapText="1"/>
    </xf>
    <xf numFmtId="0" fontId="11" fillId="0" borderId="0" xfId="0" applyFont="1" applyAlignment="1">
      <alignment horizontal="center" vertical="center"/>
    </xf>
    <xf numFmtId="0" fontId="11" fillId="0" borderId="0" xfId="0" applyFont="1" applyAlignment="1">
      <alignment horizontal="center" vertical="center" wrapText="1"/>
    </xf>
    <xf numFmtId="166" fontId="25" fillId="0" borderId="2" xfId="1" applyNumberFormat="1" applyFont="1" applyBorder="1" applyAlignment="1">
      <alignment horizontal="center" vertical="center" wrapText="1"/>
    </xf>
    <xf numFmtId="172" fontId="25" fillId="0" borderId="2" xfId="0" applyNumberFormat="1" applyFont="1" applyBorder="1" applyAlignment="1">
      <alignment horizontal="center" vertical="center" wrapText="1"/>
    </xf>
    <xf numFmtId="0" fontId="24" fillId="0" borderId="0" xfId="0" quotePrefix="1" applyFont="1" applyAlignment="1"/>
    <xf numFmtId="164" fontId="25" fillId="0" borderId="2" xfId="1" applyNumberFormat="1" applyFont="1" applyBorder="1" applyAlignment="1">
      <alignment horizontal="center" vertical="center"/>
    </xf>
    <xf numFmtId="165" fontId="25" fillId="0" borderId="2" xfId="1" applyNumberFormat="1" applyFont="1" applyBorder="1" applyAlignment="1">
      <alignment horizontal="right" vertical="center"/>
    </xf>
    <xf numFmtId="164" fontId="25" fillId="0" borderId="2" xfId="0" quotePrefix="1" applyNumberFormat="1" applyFont="1" applyBorder="1" applyAlignment="1">
      <alignment horizontal="center" vertical="center" wrapText="1"/>
    </xf>
    <xf numFmtId="0" fontId="4" fillId="0" borderId="24" xfId="3" applyFont="1" applyBorder="1" applyAlignment="1">
      <alignment horizontal="center" vertical="center"/>
    </xf>
    <xf numFmtId="171" fontId="4" fillId="0" borderId="24" xfId="3" applyNumberFormat="1" applyFont="1" applyBorder="1" applyAlignment="1">
      <alignment horizontal="center" vertical="center"/>
    </xf>
    <xf numFmtId="3" fontId="4" fillId="0" borderId="0" xfId="3" applyNumberFormat="1" applyFont="1" applyBorder="1" applyAlignment="1">
      <alignment horizontal="center" vertical="center"/>
    </xf>
    <xf numFmtId="0" fontId="4" fillId="0" borderId="0" xfId="3" applyFont="1" applyBorder="1" applyAlignment="1">
      <alignment vertical="center"/>
    </xf>
    <xf numFmtId="0" fontId="4" fillId="0" borderId="37" xfId="3" applyFont="1" applyBorder="1" applyAlignment="1">
      <alignment vertical="center"/>
    </xf>
    <xf numFmtId="3" fontId="4" fillId="0" borderId="24" xfId="3" applyNumberFormat="1" applyFont="1" applyBorder="1" applyAlignment="1">
      <alignment vertical="center"/>
    </xf>
    <xf numFmtId="3" fontId="4" fillId="0" borderId="38" xfId="3" applyNumberFormat="1" applyFont="1" applyBorder="1" applyAlignment="1">
      <alignment vertical="center"/>
    </xf>
    <xf numFmtId="0" fontId="4" fillId="0" borderId="0" xfId="3" applyFont="1" applyBorder="1" applyAlignment="1">
      <alignment vertical="center" wrapText="1"/>
    </xf>
    <xf numFmtId="3" fontId="4" fillId="0" borderId="0" xfId="3" applyNumberFormat="1" applyFont="1" applyBorder="1" applyAlignment="1">
      <alignment vertical="center"/>
    </xf>
    <xf numFmtId="0" fontId="11" fillId="0" borderId="0" xfId="0" applyFont="1" applyAlignment="1">
      <alignment horizontal="center" vertical="center" wrapText="1"/>
    </xf>
    <xf numFmtId="0" fontId="11" fillId="0" borderId="0" xfId="0" applyFont="1" applyAlignment="1">
      <alignment horizontal="left" wrapText="1"/>
    </xf>
    <xf numFmtId="0" fontId="11" fillId="0" borderId="0" xfId="0" applyFont="1" applyAlignment="1">
      <alignment horizontal="center" vertical="center"/>
    </xf>
    <xf numFmtId="0" fontId="25" fillId="0" borderId="0" xfId="0" applyFont="1" applyAlignment="1">
      <alignment horizontal="left" vertical="center" wrapText="1"/>
    </xf>
    <xf numFmtId="0" fontId="11" fillId="0" borderId="1" xfId="0" applyFont="1" applyBorder="1" applyAlignment="1">
      <alignment horizontal="left" vertical="center" wrapText="1"/>
    </xf>
    <xf numFmtId="0" fontId="11" fillId="0" borderId="0" xfId="0" applyFont="1" applyAlignment="1">
      <alignment horizontal="left" vertical="center" wrapText="1"/>
    </xf>
    <xf numFmtId="0" fontId="13" fillId="0" borderId="1" xfId="0" applyFont="1" applyBorder="1" applyAlignment="1">
      <alignment horizontal="left" wrapText="1"/>
    </xf>
    <xf numFmtId="0" fontId="25" fillId="0" borderId="2" xfId="0" applyFont="1" applyBorder="1" applyAlignment="1">
      <alignment horizontal="center" vertical="center" wrapText="1"/>
    </xf>
    <xf numFmtId="0" fontId="25" fillId="0" borderId="14" xfId="0" applyFont="1" applyBorder="1" applyAlignment="1">
      <alignment horizontal="center" vertical="center" wrapText="1"/>
    </xf>
    <xf numFmtId="0" fontId="12" fillId="0" borderId="0" xfId="0" applyFont="1" applyAlignment="1">
      <alignment horizontal="center"/>
    </xf>
    <xf numFmtId="166" fontId="25" fillId="0" borderId="2" xfId="1" applyNumberFormat="1" applyFont="1" applyBorder="1" applyAlignment="1">
      <alignment horizontal="center" vertical="center" wrapText="1"/>
    </xf>
    <xf numFmtId="0" fontId="25" fillId="0" borderId="2" xfId="0" applyFont="1" applyBorder="1" applyAlignment="1">
      <alignment horizontal="center" vertical="center" wrapText="1"/>
    </xf>
    <xf numFmtId="0" fontId="18" fillId="0" borderId="0" xfId="0" applyFont="1" applyAlignment="1"/>
    <xf numFmtId="3" fontId="11" fillId="0" borderId="7" xfId="0" applyNumberFormat="1" applyFont="1" applyFill="1" applyBorder="1" applyAlignment="1">
      <alignment horizontal="right" vertical="center" wrapText="1"/>
    </xf>
    <xf numFmtId="0" fontId="12" fillId="0" borderId="25" xfId="0" applyFont="1" applyBorder="1" applyAlignment="1"/>
    <xf numFmtId="0" fontId="12" fillId="0" borderId="0" xfId="0" applyFont="1" applyAlignment="1"/>
    <xf numFmtId="0" fontId="11" fillId="0" borderId="0" xfId="0" applyFont="1" applyAlignment="1">
      <alignment horizontal="center" vertical="center" wrapText="1"/>
    </xf>
    <xf numFmtId="0" fontId="11" fillId="0" borderId="0" xfId="0" applyFont="1" applyAlignment="1">
      <alignment horizontal="left" wrapText="1"/>
    </xf>
    <xf numFmtId="0" fontId="11" fillId="0" borderId="0" xfId="0" applyFont="1" applyAlignment="1">
      <alignment horizontal="center" vertical="center"/>
    </xf>
    <xf numFmtId="0" fontId="25" fillId="0" borderId="0" xfId="0" applyFont="1" applyAlignment="1">
      <alignment horizontal="left" vertical="center" wrapText="1"/>
    </xf>
    <xf numFmtId="0" fontId="11" fillId="0" borderId="1" xfId="0" applyFont="1" applyBorder="1" applyAlignment="1">
      <alignment horizontal="left" vertical="center" wrapText="1"/>
    </xf>
    <xf numFmtId="0" fontId="11" fillId="0" borderId="0" xfId="0" applyFont="1" applyAlignment="1">
      <alignment horizontal="left" vertical="center" wrapText="1"/>
    </xf>
    <xf numFmtId="0" fontId="13" fillId="0" borderId="1" xfId="0" applyFont="1" applyBorder="1" applyAlignment="1">
      <alignment horizontal="left" wrapText="1"/>
    </xf>
    <xf numFmtId="0" fontId="25" fillId="0" borderId="2" xfId="0" applyFont="1" applyBorder="1" applyAlignment="1">
      <alignment horizontal="center" vertical="center" wrapText="1"/>
    </xf>
    <xf numFmtId="0" fontId="12" fillId="0" borderId="0" xfId="0" applyFont="1" applyAlignment="1">
      <alignment horizontal="center"/>
    </xf>
    <xf numFmtId="166" fontId="2" fillId="0" borderId="7" xfId="2" applyNumberFormat="1" applyFont="1" applyFill="1" applyBorder="1" applyAlignment="1">
      <alignment horizontal="center" vertical="center" wrapText="1"/>
    </xf>
    <xf numFmtId="0" fontId="25" fillId="0" borderId="7" xfId="0" applyFont="1" applyBorder="1" applyAlignment="1">
      <alignment horizontal="center" wrapText="1"/>
    </xf>
    <xf numFmtId="0" fontId="25" fillId="0" borderId="7" xfId="0" applyFont="1" applyBorder="1" applyAlignment="1">
      <alignment horizontal="center" vertical="center" wrapText="1"/>
    </xf>
    <xf numFmtId="0" fontId="25" fillId="0" borderId="2" xfId="0" quotePrefix="1" applyFont="1" applyBorder="1" applyAlignment="1">
      <alignment horizontal="center" vertical="center"/>
    </xf>
    <xf numFmtId="4" fontId="25" fillId="0" borderId="2" xfId="0" applyNumberFormat="1" applyFont="1" applyBorder="1" applyAlignment="1">
      <alignment horizontal="center" vertical="center"/>
    </xf>
    <xf numFmtId="2" fontId="25" fillId="0" borderId="2" xfId="0" applyNumberFormat="1" applyFont="1" applyBorder="1" applyAlignment="1">
      <alignment horizontal="center" vertical="center"/>
    </xf>
    <xf numFmtId="0" fontId="25" fillId="0" borderId="14" xfId="0" applyFont="1" applyBorder="1" applyAlignment="1">
      <alignment vertical="center" wrapText="1"/>
    </xf>
    <xf numFmtId="3" fontId="4" fillId="0" borderId="22" xfId="3" applyNumberFormat="1" applyFont="1" applyBorder="1" applyAlignment="1">
      <alignment horizontal="center" vertical="center"/>
    </xf>
    <xf numFmtId="0" fontId="1" fillId="0" borderId="15" xfId="3" applyBorder="1" applyAlignment="1">
      <alignment horizontal="center"/>
    </xf>
    <xf numFmtId="0" fontId="1" fillId="0" borderId="22" xfId="3" applyBorder="1" applyAlignment="1">
      <alignment horizontal="center"/>
    </xf>
    <xf numFmtId="3" fontId="4" fillId="0" borderId="41" xfId="3" applyNumberFormat="1" applyFont="1" applyBorder="1" applyAlignment="1">
      <alignment horizontal="center" vertical="center"/>
    </xf>
    <xf numFmtId="0" fontId="15" fillId="0" borderId="0" xfId="0" applyFont="1" applyAlignment="1">
      <alignment horizontal="center" vertical="center"/>
    </xf>
    <xf numFmtId="0" fontId="11"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xf>
    <xf numFmtId="0" fontId="15" fillId="0" borderId="0" xfId="0" applyFont="1" applyAlignment="1">
      <alignment horizontal="left" vertical="center" wrapText="1"/>
    </xf>
    <xf numFmtId="0" fontId="15" fillId="0" borderId="0" xfId="0" applyFont="1" applyAlignment="1">
      <alignment vertical="center" wrapText="1"/>
    </xf>
    <xf numFmtId="0" fontId="15" fillId="0" borderId="16" xfId="0" applyFont="1" applyBorder="1" applyAlignment="1">
      <alignment vertical="center" wrapText="1"/>
    </xf>
    <xf numFmtId="0" fontId="15" fillId="0" borderId="25" xfId="0" applyFont="1" applyBorder="1" applyAlignment="1">
      <alignment horizontal="left" vertical="center"/>
    </xf>
    <xf numFmtId="0" fontId="15" fillId="0" borderId="0" xfId="0" applyFont="1" applyAlignment="1">
      <alignment horizontal="left" vertical="center"/>
    </xf>
    <xf numFmtId="0" fontId="15" fillId="0" borderId="2"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6" xfId="0" applyFont="1" applyBorder="1" applyAlignment="1">
      <alignment horizontal="center" vertical="center" wrapText="1"/>
    </xf>
    <xf numFmtId="0" fontId="11" fillId="0" borderId="3" xfId="0" applyFont="1" applyBorder="1" applyAlignment="1">
      <alignment horizontal="left" vertical="center" shrinkToFit="1"/>
    </xf>
    <xf numFmtId="0" fontId="11" fillId="0" borderId="4" xfId="0" applyFont="1" applyBorder="1" applyAlignment="1">
      <alignment horizontal="left" vertical="center" shrinkToFit="1"/>
    </xf>
    <xf numFmtId="0" fontId="11" fillId="0" borderId="5" xfId="0" applyFont="1" applyBorder="1" applyAlignment="1">
      <alignment horizontal="left" vertical="center" shrinkToFit="1"/>
    </xf>
    <xf numFmtId="0" fontId="11" fillId="0" borderId="3" xfId="0" applyFont="1" applyBorder="1" applyAlignment="1">
      <alignment vertical="center" shrinkToFit="1"/>
    </xf>
    <xf numFmtId="0" fontId="11" fillId="0" borderId="4" xfId="0" applyFont="1" applyBorder="1" applyAlignment="1">
      <alignment vertical="center" shrinkToFit="1"/>
    </xf>
    <xf numFmtId="0" fontId="11" fillId="0" borderId="5" xfId="0" applyFont="1" applyBorder="1" applyAlignment="1">
      <alignment vertical="center" shrinkToFit="1"/>
    </xf>
    <xf numFmtId="0" fontId="11" fillId="0" borderId="3" xfId="0" applyFont="1" applyBorder="1" applyAlignment="1">
      <alignment horizontal="left" vertical="top" shrinkToFit="1"/>
    </xf>
    <xf numFmtId="0" fontId="11" fillId="0" borderId="4" xfId="0" applyFont="1" applyBorder="1" applyAlignment="1">
      <alignment horizontal="left" vertical="top" shrinkToFit="1"/>
    </xf>
    <xf numFmtId="0" fontId="11" fillId="0" borderId="5" xfId="0" applyFont="1" applyBorder="1" applyAlignment="1">
      <alignment horizontal="left" vertical="top" shrinkToFit="1"/>
    </xf>
    <xf numFmtId="0" fontId="13" fillId="0" borderId="1" xfId="0" applyFont="1" applyBorder="1" applyAlignment="1">
      <alignment horizontal="left" wrapText="1"/>
    </xf>
    <xf numFmtId="0" fontId="13" fillId="0" borderId="4" xfId="0" applyFont="1" applyBorder="1" applyAlignment="1">
      <alignment horizontal="left" wrapText="1"/>
    </xf>
    <xf numFmtId="0" fontId="13" fillId="0" borderId="3" xfId="0" applyFont="1" applyBorder="1" applyAlignment="1">
      <alignment horizontal="center" vertical="center" wrapText="1"/>
    </xf>
    <xf numFmtId="0" fontId="13" fillId="0" borderId="5" xfId="0" applyFont="1" applyBorder="1" applyAlignment="1">
      <alignment horizontal="center" vertical="center" wrapText="1"/>
    </xf>
    <xf numFmtId="0" fontId="25" fillId="0" borderId="3" xfId="0" applyFont="1" applyBorder="1" applyAlignment="1">
      <alignment horizontal="left" vertical="center" wrapText="1"/>
    </xf>
    <xf numFmtId="0" fontId="25" fillId="0" borderId="5" xfId="0" applyFont="1" applyBorder="1" applyAlignment="1">
      <alignment horizontal="left" vertical="center" wrapText="1"/>
    </xf>
    <xf numFmtId="0" fontId="13" fillId="3" borderId="3" xfId="0" applyFont="1" applyFill="1" applyBorder="1" applyAlignment="1">
      <alignment horizontal="center" vertical="center" wrapText="1"/>
    </xf>
    <xf numFmtId="0" fontId="13" fillId="3" borderId="5" xfId="0" applyFont="1" applyFill="1" applyBorder="1" applyAlignment="1">
      <alignment horizontal="center" vertical="center" wrapText="1"/>
    </xf>
    <xf numFmtId="0" fontId="13" fillId="4" borderId="4" xfId="0" applyFont="1" applyFill="1" applyBorder="1" applyAlignment="1">
      <alignment horizontal="left" vertical="center" wrapText="1"/>
    </xf>
    <xf numFmtId="0" fontId="13" fillId="4" borderId="5" xfId="0" applyFont="1" applyFill="1" applyBorder="1" applyAlignment="1">
      <alignment horizontal="left" vertical="center" wrapText="1"/>
    </xf>
    <xf numFmtId="0" fontId="32" fillId="2" borderId="13" xfId="0" applyFont="1" applyFill="1" applyBorder="1" applyAlignment="1">
      <alignment horizontal="left" vertical="center" wrapText="1"/>
    </xf>
    <xf numFmtId="0" fontId="25" fillId="0" borderId="2" xfId="0" applyFont="1" applyBorder="1" applyAlignment="1">
      <alignment horizontal="center" vertical="center" wrapText="1"/>
    </xf>
    <xf numFmtId="0" fontId="25" fillId="0" borderId="14" xfId="0" applyFont="1" applyBorder="1" applyAlignment="1">
      <alignment horizontal="center" vertical="center" wrapText="1"/>
    </xf>
    <xf numFmtId="0" fontId="11" fillId="3" borderId="3" xfId="0" applyFont="1" applyFill="1" applyBorder="1" applyAlignment="1">
      <alignment horizontal="center" vertical="center" wrapText="1"/>
    </xf>
    <xf numFmtId="0" fontId="11" fillId="3" borderId="5" xfId="0" applyFont="1" applyFill="1" applyBorder="1" applyAlignment="1">
      <alignment horizontal="center" vertical="center" wrapText="1"/>
    </xf>
    <xf numFmtId="0" fontId="10" fillId="0" borderId="2" xfId="0" applyFont="1" applyBorder="1" applyAlignment="1">
      <alignment horizontal="center" vertical="center"/>
    </xf>
    <xf numFmtId="0" fontId="10" fillId="0" borderId="6" xfId="0" applyFont="1" applyBorder="1" applyAlignment="1">
      <alignment horizontal="center" vertic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5"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5" xfId="0" applyFont="1" applyBorder="1" applyAlignment="1">
      <alignment horizontal="center" vertical="center" wrapText="1"/>
    </xf>
    <xf numFmtId="0" fontId="15" fillId="0" borderId="9" xfId="0" applyFont="1" applyBorder="1" applyAlignment="1">
      <alignment horizontal="left" vertical="center" wrapText="1"/>
    </xf>
    <xf numFmtId="0" fontId="15" fillId="0" borderId="10" xfId="0" applyFont="1" applyBorder="1" applyAlignment="1">
      <alignment horizontal="left" vertical="center" wrapText="1"/>
    </xf>
    <xf numFmtId="0" fontId="11" fillId="0" borderId="1" xfId="0" applyFont="1" applyBorder="1" applyAlignment="1">
      <alignment horizontal="left" vertical="center" wrapText="1"/>
    </xf>
    <xf numFmtId="0" fontId="24" fillId="0" borderId="0" xfId="0" quotePrefix="1" applyFont="1" applyAlignment="1">
      <alignment horizontal="left"/>
    </xf>
    <xf numFmtId="0" fontId="11" fillId="0" borderId="0" xfId="0" applyFont="1" applyAlignment="1">
      <alignment horizontal="left" wrapText="1"/>
    </xf>
    <xf numFmtId="0" fontId="25" fillId="0" borderId="0" xfId="0" applyFont="1" applyAlignment="1">
      <alignment horizontal="right"/>
    </xf>
    <xf numFmtId="0" fontId="11" fillId="0" borderId="0" xfId="0" applyFont="1" applyAlignment="1">
      <alignment horizontal="left" vertical="center" wrapText="1"/>
    </xf>
    <xf numFmtId="0" fontId="23" fillId="0" borderId="0" xfId="0" applyFont="1" applyAlignment="1">
      <alignment horizontal="left" wrapText="1"/>
    </xf>
    <xf numFmtId="0" fontId="25" fillId="0" borderId="0" xfId="0" quotePrefix="1" applyFont="1" applyAlignment="1">
      <alignment horizontal="left" vertical="center" wrapText="1"/>
    </xf>
    <xf numFmtId="0" fontId="25" fillId="0" borderId="0" xfId="0" applyFont="1" applyAlignment="1">
      <alignment horizontal="left" vertical="center" wrapText="1"/>
    </xf>
    <xf numFmtId="0" fontId="11" fillId="0" borderId="0" xfId="0" applyFont="1" applyAlignment="1">
      <alignment horizontal="center" vertical="center"/>
    </xf>
    <xf numFmtId="0" fontId="17" fillId="0" borderId="0" xfId="0" applyFont="1" applyAlignment="1">
      <alignment horizontal="center" vertical="center"/>
    </xf>
    <xf numFmtId="0" fontId="19" fillId="0" borderId="0" xfId="0" applyFont="1" applyAlignment="1">
      <alignment horizontal="right"/>
    </xf>
    <xf numFmtId="0" fontId="11" fillId="0" borderId="0" xfId="0" applyFont="1" applyAlignment="1">
      <alignment horizontal="center" vertical="center" wrapText="1"/>
    </xf>
    <xf numFmtId="0" fontId="15" fillId="0" borderId="0" xfId="0" applyFont="1" applyAlignment="1">
      <alignment horizontal="center" vertical="top" wrapText="1"/>
    </xf>
    <xf numFmtId="0" fontId="19" fillId="2" borderId="0" xfId="0" applyFont="1" applyFill="1" applyAlignment="1">
      <alignment horizontal="center" vertical="center" wrapText="1"/>
    </xf>
    <xf numFmtId="0" fontId="10" fillId="0" borderId="0" xfId="0" applyFont="1" applyAlignment="1">
      <alignment horizontal="left"/>
    </xf>
    <xf numFmtId="0" fontId="23" fillId="0" borderId="0" xfId="0" applyFont="1" applyAlignment="1">
      <alignment horizontal="left"/>
    </xf>
    <xf numFmtId="0" fontId="13" fillId="0" borderId="1" xfId="0" applyFont="1" applyBorder="1" applyAlignment="1">
      <alignment horizontal="left" vertical="center" wrapText="1"/>
    </xf>
    <xf numFmtId="166" fontId="25" fillId="0" borderId="2" xfId="1" applyNumberFormat="1" applyFont="1" applyBorder="1" applyAlignment="1">
      <alignment horizontal="center" vertical="center" wrapText="1"/>
    </xf>
    <xf numFmtId="166" fontId="25" fillId="0" borderId="14" xfId="1" applyNumberFormat="1" applyFont="1" applyBorder="1" applyAlignment="1">
      <alignment horizontal="center" vertical="center" wrapText="1"/>
    </xf>
    <xf numFmtId="0" fontId="13" fillId="0" borderId="4" xfId="0" applyFont="1" applyBorder="1" applyAlignment="1">
      <alignment horizontal="left" vertical="center" wrapText="1"/>
    </xf>
    <xf numFmtId="0" fontId="25" fillId="0" borderId="6" xfId="0" applyFont="1" applyBorder="1" applyAlignment="1">
      <alignment horizontal="center" vertical="center" wrapText="1"/>
    </xf>
    <xf numFmtId="0" fontId="15" fillId="0" borderId="0" xfId="0" quotePrefix="1" applyFont="1" applyAlignment="1">
      <alignment horizontal="left" vertical="center" wrapText="1"/>
    </xf>
    <xf numFmtId="0" fontId="4" fillId="0" borderId="0" xfId="0" applyFont="1" applyAlignment="1">
      <alignment horizontal="center" vertical="center" wrapText="1"/>
    </xf>
    <xf numFmtId="166" fontId="25" fillId="0" borderId="6" xfId="1" applyNumberFormat="1" applyFont="1" applyBorder="1" applyAlignment="1">
      <alignment horizontal="center" vertical="center" wrapText="1"/>
    </xf>
    <xf numFmtId="0" fontId="15" fillId="0" borderId="0" xfId="0" quotePrefix="1" applyFont="1" applyAlignment="1">
      <alignment horizontal="left"/>
    </xf>
    <xf numFmtId="0" fontId="10" fillId="0" borderId="0" xfId="0" applyFont="1" applyAlignment="1">
      <alignment horizontal="left" vertical="center"/>
    </xf>
    <xf numFmtId="0" fontId="23" fillId="0" borderId="0" xfId="0" applyFont="1" applyAlignment="1">
      <alignment horizontal="left" vertical="center" wrapText="1"/>
    </xf>
    <xf numFmtId="0" fontId="15" fillId="0" borderId="0" xfId="0" applyFont="1" applyBorder="1" applyAlignment="1">
      <alignment horizontal="left" vertical="center" wrapText="1"/>
    </xf>
    <xf numFmtId="0" fontId="15" fillId="0" borderId="0" xfId="0" applyFont="1" applyBorder="1" applyAlignment="1">
      <alignment vertical="center" wrapText="1"/>
    </xf>
    <xf numFmtId="0" fontId="15" fillId="0" borderId="0" xfId="0" applyFont="1" applyBorder="1" applyAlignment="1">
      <alignment horizontal="left" vertical="center"/>
    </xf>
    <xf numFmtId="0" fontId="7" fillId="0" borderId="0" xfId="3" applyFont="1" applyAlignment="1">
      <alignment horizontal="center"/>
    </xf>
    <xf numFmtId="0" fontId="7" fillId="0" borderId="0" xfId="3" applyFont="1" applyAlignment="1">
      <alignment horizontal="center" wrapText="1"/>
    </xf>
    <xf numFmtId="166" fontId="2" fillId="0" borderId="20" xfId="2" applyNumberFormat="1" applyFont="1" applyFill="1" applyBorder="1" applyAlignment="1">
      <alignment horizontal="center" vertical="center" wrapText="1"/>
    </xf>
    <xf numFmtId="166" fontId="2" fillId="0" borderId="7" xfId="2" applyNumberFormat="1" applyFont="1" applyFill="1" applyBorder="1" applyAlignment="1">
      <alignment horizontal="center" vertical="center" wrapText="1"/>
    </xf>
    <xf numFmtId="166" fontId="2" fillId="0" borderId="39" xfId="2" applyNumberFormat="1" applyFont="1" applyFill="1" applyBorder="1" applyAlignment="1">
      <alignment horizontal="center" vertical="center" wrapText="1"/>
    </xf>
    <xf numFmtId="166" fontId="2" fillId="0" borderId="15" xfId="2" applyNumberFormat="1" applyFont="1" applyFill="1" applyBorder="1" applyAlignment="1">
      <alignment horizontal="center" vertical="center" wrapText="1"/>
    </xf>
    <xf numFmtId="0" fontId="2" fillId="0" borderId="7" xfId="3" applyFont="1" applyBorder="1" applyAlignment="1">
      <alignment horizontal="center" vertical="center" wrapText="1"/>
    </xf>
    <xf numFmtId="166" fontId="2" fillId="0" borderId="40" xfId="2" applyNumberFormat="1" applyFont="1" applyFill="1" applyBorder="1" applyAlignment="1">
      <alignment horizontal="center" vertical="center" wrapText="1"/>
    </xf>
    <xf numFmtId="166" fontId="2" fillId="0" borderId="22" xfId="2" applyNumberFormat="1" applyFont="1" applyFill="1" applyBorder="1" applyAlignment="1">
      <alignment horizontal="center" vertical="center" wrapText="1"/>
    </xf>
    <xf numFmtId="166" fontId="2" fillId="0" borderId="26" xfId="2" applyNumberFormat="1" applyFont="1" applyFill="1" applyBorder="1" applyAlignment="1">
      <alignment horizontal="center" vertical="center" wrapText="1"/>
    </xf>
    <xf numFmtId="166" fontId="2" fillId="0" borderId="28" xfId="2" applyNumberFormat="1" applyFont="1" applyFill="1" applyBorder="1" applyAlignment="1">
      <alignment horizontal="center" vertical="center" wrapText="1"/>
    </xf>
    <xf numFmtId="166" fontId="2" fillId="0" borderId="29" xfId="2" applyNumberFormat="1" applyFont="1" applyFill="1" applyBorder="1" applyAlignment="1">
      <alignment horizontal="center" vertical="center" wrapText="1"/>
    </xf>
    <xf numFmtId="166" fontId="2" fillId="0" borderId="27" xfId="2" applyNumberFormat="1" applyFont="1" applyFill="1" applyBorder="1" applyAlignment="1">
      <alignment horizontal="center" vertical="center" wrapText="1"/>
    </xf>
    <xf numFmtId="166" fontId="2" fillId="0" borderId="14" xfId="2" applyNumberFormat="1" applyFont="1" applyFill="1" applyBorder="1" applyAlignment="1">
      <alignment horizontal="center" vertical="center" wrapText="1"/>
    </xf>
    <xf numFmtId="166" fontId="2" fillId="0" borderId="6" xfId="2" applyNumberFormat="1" applyFont="1" applyFill="1" applyBorder="1" applyAlignment="1">
      <alignment horizontal="center" vertical="center" wrapText="1"/>
    </xf>
    <xf numFmtId="0" fontId="9" fillId="0" borderId="0" xfId="3" applyFont="1" applyAlignment="1">
      <alignment horizontal="center"/>
    </xf>
    <xf numFmtId="166" fontId="2" fillId="0" borderId="0" xfId="2" applyNumberFormat="1" applyFont="1" applyFill="1" applyBorder="1" applyAlignment="1">
      <alignment horizontal="center" vertical="top" wrapText="1"/>
    </xf>
    <xf numFmtId="166" fontId="2" fillId="0" borderId="0" xfId="2" applyNumberFormat="1" applyFont="1" applyFill="1" applyBorder="1" applyAlignment="1">
      <alignment horizontal="center" vertical="center" wrapText="1"/>
    </xf>
    <xf numFmtId="0" fontId="38" fillId="0" borderId="0" xfId="3" applyFont="1" applyAlignment="1">
      <alignment horizontal="center"/>
    </xf>
    <xf numFmtId="0" fontId="38" fillId="0" borderId="0" xfId="3" applyFont="1" applyAlignment="1">
      <alignment horizontal="center" wrapText="1"/>
    </xf>
    <xf numFmtId="0" fontId="30" fillId="0" borderId="0" xfId="3" applyFont="1" applyAlignment="1">
      <alignment horizontal="center" wrapText="1"/>
    </xf>
  </cellXfs>
  <cellStyles count="5">
    <cellStyle name="Comma" xfId="1" builtinId="3"/>
    <cellStyle name="Comma 2" xfId="2"/>
    <cellStyle name="Normal" xfId="0" builtinId="0"/>
    <cellStyle name="Normal 2" xfId="3"/>
    <cellStyle name="Percent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externalLink" Target="externalLinks/externalLink1.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s>
</file>

<file path=xl/drawings/drawing1.xml><?xml version="1.0" encoding="utf-8"?>
<xdr:wsDr xmlns:xdr="http://schemas.openxmlformats.org/drawingml/2006/spreadsheetDrawing" xmlns:a="http://schemas.openxmlformats.org/drawingml/2006/main">
  <xdr:oneCellAnchor>
    <xdr:from>
      <xdr:col>3</xdr:col>
      <xdr:colOff>625514</xdr:colOff>
      <xdr:row>78</xdr:row>
      <xdr:rowOff>0</xdr:rowOff>
    </xdr:from>
    <xdr:ext cx="1103707" cy="264560"/>
    <xdr:sp macro="" textlink="">
      <xdr:nvSpPr>
        <xdr:cNvPr id="2" name="TextBox 1">
          <a:extLst>
            <a:ext uri="{FF2B5EF4-FFF2-40B4-BE49-F238E27FC236}">
              <a16:creationId xmlns:a16="http://schemas.microsoft.com/office/drawing/2014/main" xmlns="" id="{00000000-0008-0000-2300-000002000000}"/>
            </a:ext>
          </a:extLst>
        </xdr:cNvPr>
        <xdr:cNvSpPr txBox="1"/>
      </xdr:nvSpPr>
      <xdr:spPr>
        <a:xfrm>
          <a:off x="2435264" y="15621000"/>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3</xdr:col>
      <xdr:colOff>625514</xdr:colOff>
      <xdr:row>81</xdr:row>
      <xdr:rowOff>0</xdr:rowOff>
    </xdr:from>
    <xdr:ext cx="1103707" cy="264560"/>
    <xdr:sp macro="" textlink="">
      <xdr:nvSpPr>
        <xdr:cNvPr id="2" name="TextBox 1">
          <a:extLst>
            <a:ext uri="{FF2B5EF4-FFF2-40B4-BE49-F238E27FC236}">
              <a16:creationId xmlns:a16="http://schemas.microsoft.com/office/drawing/2014/main" xmlns="" id="{00000000-0008-0000-2400-000002000000}"/>
            </a:ext>
          </a:extLst>
        </xdr:cNvPr>
        <xdr:cNvSpPr txBox="1"/>
      </xdr:nvSpPr>
      <xdr:spPr>
        <a:xfrm>
          <a:off x="3787814" y="25050750"/>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oneCellAnchor>
    <xdr:from>
      <xdr:col>3</xdr:col>
      <xdr:colOff>625514</xdr:colOff>
      <xdr:row>81</xdr:row>
      <xdr:rowOff>0</xdr:rowOff>
    </xdr:from>
    <xdr:ext cx="1103707" cy="264560"/>
    <xdr:sp macro="" textlink="">
      <xdr:nvSpPr>
        <xdr:cNvPr id="3" name="TextBox 2">
          <a:extLst>
            <a:ext uri="{FF2B5EF4-FFF2-40B4-BE49-F238E27FC236}">
              <a16:creationId xmlns:a16="http://schemas.microsoft.com/office/drawing/2014/main" xmlns="" id="{00000000-0008-0000-2400-000003000000}"/>
            </a:ext>
          </a:extLst>
        </xdr:cNvPr>
        <xdr:cNvSpPr txBox="1"/>
      </xdr:nvSpPr>
      <xdr:spPr>
        <a:xfrm>
          <a:off x="3359189" y="22517100"/>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oneCellAnchor>
    <xdr:from>
      <xdr:col>3</xdr:col>
      <xdr:colOff>625514</xdr:colOff>
      <xdr:row>74</xdr:row>
      <xdr:rowOff>0</xdr:rowOff>
    </xdr:from>
    <xdr:ext cx="1103707" cy="264560"/>
    <xdr:sp macro="" textlink="">
      <xdr:nvSpPr>
        <xdr:cNvPr id="4" name="TextBox 3">
          <a:extLst>
            <a:ext uri="{FF2B5EF4-FFF2-40B4-BE49-F238E27FC236}">
              <a16:creationId xmlns:a16="http://schemas.microsoft.com/office/drawing/2014/main" xmlns="" id="{00000000-0008-0000-2400-000004000000}"/>
            </a:ext>
          </a:extLst>
        </xdr:cNvPr>
        <xdr:cNvSpPr txBox="1"/>
      </xdr:nvSpPr>
      <xdr:spPr>
        <a:xfrm>
          <a:off x="3359189" y="22517100"/>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oneCellAnchor>
    <xdr:from>
      <xdr:col>3</xdr:col>
      <xdr:colOff>625514</xdr:colOff>
      <xdr:row>74</xdr:row>
      <xdr:rowOff>0</xdr:rowOff>
    </xdr:from>
    <xdr:ext cx="1103707" cy="264560"/>
    <xdr:sp macro="" textlink="">
      <xdr:nvSpPr>
        <xdr:cNvPr id="6" name="TextBox 5">
          <a:extLst>
            <a:ext uri="{FF2B5EF4-FFF2-40B4-BE49-F238E27FC236}">
              <a16:creationId xmlns:a16="http://schemas.microsoft.com/office/drawing/2014/main" xmlns="" id="{00000000-0008-0000-2400-000006000000}"/>
            </a:ext>
          </a:extLst>
        </xdr:cNvPr>
        <xdr:cNvSpPr txBox="1"/>
      </xdr:nvSpPr>
      <xdr:spPr>
        <a:xfrm>
          <a:off x="3359189" y="22517100"/>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3</xdr:col>
      <xdr:colOff>625514</xdr:colOff>
      <xdr:row>76</xdr:row>
      <xdr:rowOff>0</xdr:rowOff>
    </xdr:from>
    <xdr:ext cx="1103707" cy="264560"/>
    <xdr:sp macro="" textlink="">
      <xdr:nvSpPr>
        <xdr:cNvPr id="2" name="TextBox 1">
          <a:extLst>
            <a:ext uri="{FF2B5EF4-FFF2-40B4-BE49-F238E27FC236}">
              <a16:creationId xmlns:a16="http://schemas.microsoft.com/office/drawing/2014/main" xmlns="" id="{00000000-0008-0000-2500-000002000000}"/>
            </a:ext>
          </a:extLst>
        </xdr:cNvPr>
        <xdr:cNvSpPr txBox="1"/>
      </xdr:nvSpPr>
      <xdr:spPr>
        <a:xfrm>
          <a:off x="3787814" y="23383875"/>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3</xdr:col>
      <xdr:colOff>625514</xdr:colOff>
      <xdr:row>72</xdr:row>
      <xdr:rowOff>0</xdr:rowOff>
    </xdr:from>
    <xdr:ext cx="1103707" cy="264560"/>
    <xdr:sp macro="" textlink="">
      <xdr:nvSpPr>
        <xdr:cNvPr id="2" name="TextBox 1">
          <a:extLst>
            <a:ext uri="{FF2B5EF4-FFF2-40B4-BE49-F238E27FC236}">
              <a16:creationId xmlns:a16="http://schemas.microsoft.com/office/drawing/2014/main" xmlns="" id="{00000000-0008-0000-2600-000002000000}"/>
            </a:ext>
          </a:extLst>
        </xdr:cNvPr>
        <xdr:cNvSpPr txBox="1"/>
      </xdr:nvSpPr>
      <xdr:spPr>
        <a:xfrm>
          <a:off x="2435264" y="15621000"/>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3</xdr:col>
      <xdr:colOff>625514</xdr:colOff>
      <xdr:row>75</xdr:row>
      <xdr:rowOff>0</xdr:rowOff>
    </xdr:from>
    <xdr:ext cx="1103707" cy="264560"/>
    <xdr:sp macro="" textlink="">
      <xdr:nvSpPr>
        <xdr:cNvPr id="2" name="TextBox 1">
          <a:extLst>
            <a:ext uri="{FF2B5EF4-FFF2-40B4-BE49-F238E27FC236}">
              <a16:creationId xmlns:a16="http://schemas.microsoft.com/office/drawing/2014/main" xmlns="" id="{00000000-0008-0000-2700-000002000000}"/>
            </a:ext>
          </a:extLst>
        </xdr:cNvPr>
        <xdr:cNvSpPr txBox="1"/>
      </xdr:nvSpPr>
      <xdr:spPr>
        <a:xfrm>
          <a:off x="2435264" y="15240000"/>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3</xdr:col>
      <xdr:colOff>625514</xdr:colOff>
      <xdr:row>80</xdr:row>
      <xdr:rowOff>0</xdr:rowOff>
    </xdr:from>
    <xdr:ext cx="1103707" cy="264560"/>
    <xdr:sp macro="" textlink="">
      <xdr:nvSpPr>
        <xdr:cNvPr id="2" name="TextBox 1">
          <a:extLst>
            <a:ext uri="{FF2B5EF4-FFF2-40B4-BE49-F238E27FC236}">
              <a16:creationId xmlns:a16="http://schemas.microsoft.com/office/drawing/2014/main" xmlns="" id="{00000000-0008-0000-2800-000002000000}"/>
            </a:ext>
          </a:extLst>
        </xdr:cNvPr>
        <xdr:cNvSpPr txBox="1"/>
      </xdr:nvSpPr>
      <xdr:spPr>
        <a:xfrm>
          <a:off x="2435264" y="15430500"/>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3</xdr:col>
      <xdr:colOff>625514</xdr:colOff>
      <xdr:row>71</xdr:row>
      <xdr:rowOff>0</xdr:rowOff>
    </xdr:from>
    <xdr:ext cx="1103707" cy="264560"/>
    <xdr:sp macro="" textlink="">
      <xdr:nvSpPr>
        <xdr:cNvPr id="2" name="TextBox 1">
          <a:extLst>
            <a:ext uri="{FF2B5EF4-FFF2-40B4-BE49-F238E27FC236}">
              <a16:creationId xmlns:a16="http://schemas.microsoft.com/office/drawing/2014/main" xmlns="" id="{00000000-0008-0000-2900-000002000000}"/>
            </a:ext>
          </a:extLst>
        </xdr:cNvPr>
        <xdr:cNvSpPr txBox="1"/>
      </xdr:nvSpPr>
      <xdr:spPr>
        <a:xfrm>
          <a:off x="2435264" y="13716000"/>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3</xdr:col>
      <xdr:colOff>625514</xdr:colOff>
      <xdr:row>73</xdr:row>
      <xdr:rowOff>0</xdr:rowOff>
    </xdr:from>
    <xdr:ext cx="1103707" cy="264560"/>
    <xdr:sp macro="" textlink="">
      <xdr:nvSpPr>
        <xdr:cNvPr id="2" name="TextBox 1">
          <a:extLst>
            <a:ext uri="{FF2B5EF4-FFF2-40B4-BE49-F238E27FC236}">
              <a16:creationId xmlns:a16="http://schemas.microsoft.com/office/drawing/2014/main" xmlns="" id="{00000000-0008-0000-2A00-000002000000}"/>
            </a:ext>
          </a:extLst>
        </xdr:cNvPr>
        <xdr:cNvSpPr txBox="1"/>
      </xdr:nvSpPr>
      <xdr:spPr>
        <a:xfrm>
          <a:off x="3340139" y="23193375"/>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3</xdr:col>
      <xdr:colOff>625514</xdr:colOff>
      <xdr:row>73</xdr:row>
      <xdr:rowOff>0</xdr:rowOff>
    </xdr:from>
    <xdr:ext cx="1103707" cy="264560"/>
    <xdr:sp macro="" textlink="">
      <xdr:nvSpPr>
        <xdr:cNvPr id="2" name="TextBox 1">
          <a:extLst>
            <a:ext uri="{FF2B5EF4-FFF2-40B4-BE49-F238E27FC236}">
              <a16:creationId xmlns:a16="http://schemas.microsoft.com/office/drawing/2014/main" xmlns="" id="{00000000-0008-0000-2C00-000002000000}"/>
            </a:ext>
          </a:extLst>
        </xdr:cNvPr>
        <xdr:cNvSpPr txBox="1"/>
      </xdr:nvSpPr>
      <xdr:spPr>
        <a:xfrm>
          <a:off x="2435264" y="13525500"/>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3</xdr:col>
      <xdr:colOff>625514</xdr:colOff>
      <xdr:row>73</xdr:row>
      <xdr:rowOff>0</xdr:rowOff>
    </xdr:from>
    <xdr:ext cx="1103707" cy="264560"/>
    <xdr:sp macro="" textlink="">
      <xdr:nvSpPr>
        <xdr:cNvPr id="2" name="TextBox 1">
          <a:extLst>
            <a:ext uri="{FF2B5EF4-FFF2-40B4-BE49-F238E27FC236}">
              <a16:creationId xmlns:a16="http://schemas.microsoft.com/office/drawing/2014/main" xmlns="" id="{00000000-0008-0000-2D00-000002000000}"/>
            </a:ext>
          </a:extLst>
        </xdr:cNvPr>
        <xdr:cNvSpPr txBox="1"/>
      </xdr:nvSpPr>
      <xdr:spPr>
        <a:xfrm>
          <a:off x="3340139" y="20402550"/>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wsDr>
</file>

<file path=xl/drawings/drawing11.xml><?xml version="1.0" encoding="utf-8"?>
<xdr:wsDr xmlns:xdr="http://schemas.openxmlformats.org/drawingml/2006/spreadsheetDrawing" xmlns:a="http://schemas.openxmlformats.org/drawingml/2006/main">
  <xdr:oneCellAnchor>
    <xdr:from>
      <xdr:col>3</xdr:col>
      <xdr:colOff>625514</xdr:colOff>
      <xdr:row>80</xdr:row>
      <xdr:rowOff>0</xdr:rowOff>
    </xdr:from>
    <xdr:ext cx="1103707" cy="264560"/>
    <xdr:sp macro="" textlink="">
      <xdr:nvSpPr>
        <xdr:cNvPr id="2" name="TextBox 1">
          <a:extLst>
            <a:ext uri="{FF2B5EF4-FFF2-40B4-BE49-F238E27FC236}">
              <a16:creationId xmlns:a16="http://schemas.microsoft.com/office/drawing/2014/main" xmlns="" id="{00000000-0008-0000-2E00-000002000000}"/>
            </a:ext>
          </a:extLst>
        </xdr:cNvPr>
        <xdr:cNvSpPr txBox="1"/>
      </xdr:nvSpPr>
      <xdr:spPr>
        <a:xfrm>
          <a:off x="2435264" y="15430500"/>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oneCellAnchor>
    <xdr:from>
      <xdr:col>3</xdr:col>
      <xdr:colOff>625514</xdr:colOff>
      <xdr:row>79</xdr:row>
      <xdr:rowOff>0</xdr:rowOff>
    </xdr:from>
    <xdr:ext cx="1103707" cy="264560"/>
    <xdr:sp macro="" textlink="">
      <xdr:nvSpPr>
        <xdr:cNvPr id="3" name="TextBox 2">
          <a:extLst>
            <a:ext uri="{FF2B5EF4-FFF2-40B4-BE49-F238E27FC236}">
              <a16:creationId xmlns:a16="http://schemas.microsoft.com/office/drawing/2014/main" xmlns="" id="{00000000-0008-0000-2E00-000003000000}"/>
            </a:ext>
          </a:extLst>
        </xdr:cNvPr>
        <xdr:cNvSpPr txBox="1"/>
      </xdr:nvSpPr>
      <xdr:spPr>
        <a:xfrm>
          <a:off x="3292514" y="22231350"/>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wsDr>
</file>

<file path=xl/drawings/drawing12.xml><?xml version="1.0" encoding="utf-8"?>
<xdr:wsDr xmlns:xdr="http://schemas.openxmlformats.org/drawingml/2006/spreadsheetDrawing" xmlns:a="http://schemas.openxmlformats.org/drawingml/2006/main">
  <xdr:oneCellAnchor>
    <xdr:from>
      <xdr:col>3</xdr:col>
      <xdr:colOff>625514</xdr:colOff>
      <xdr:row>72</xdr:row>
      <xdr:rowOff>0</xdr:rowOff>
    </xdr:from>
    <xdr:ext cx="1103707" cy="264560"/>
    <xdr:sp macro="" textlink="">
      <xdr:nvSpPr>
        <xdr:cNvPr id="2" name="TextBox 1">
          <a:extLst>
            <a:ext uri="{FF2B5EF4-FFF2-40B4-BE49-F238E27FC236}">
              <a16:creationId xmlns:a16="http://schemas.microsoft.com/office/drawing/2014/main" xmlns="" id="{00000000-0008-0000-2F00-000002000000}"/>
            </a:ext>
          </a:extLst>
        </xdr:cNvPr>
        <xdr:cNvSpPr txBox="1"/>
      </xdr:nvSpPr>
      <xdr:spPr>
        <a:xfrm>
          <a:off x="2435264" y="15049500"/>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wsDr>
</file>

<file path=xl/drawings/drawing13.xml><?xml version="1.0" encoding="utf-8"?>
<xdr:wsDr xmlns:xdr="http://schemas.openxmlformats.org/drawingml/2006/spreadsheetDrawing" xmlns:a="http://schemas.openxmlformats.org/drawingml/2006/main">
  <xdr:oneCellAnchor>
    <xdr:from>
      <xdr:col>3</xdr:col>
      <xdr:colOff>625514</xdr:colOff>
      <xdr:row>70</xdr:row>
      <xdr:rowOff>0</xdr:rowOff>
    </xdr:from>
    <xdr:ext cx="1103707" cy="264560"/>
    <xdr:sp macro="" textlink="">
      <xdr:nvSpPr>
        <xdr:cNvPr id="2" name="TextBox 1">
          <a:extLst>
            <a:ext uri="{FF2B5EF4-FFF2-40B4-BE49-F238E27FC236}">
              <a16:creationId xmlns:a16="http://schemas.microsoft.com/office/drawing/2014/main" xmlns="" id="{00000000-0008-0000-3000-000002000000}"/>
            </a:ext>
          </a:extLst>
        </xdr:cNvPr>
        <xdr:cNvSpPr txBox="1"/>
      </xdr:nvSpPr>
      <xdr:spPr>
        <a:xfrm>
          <a:off x="2435264" y="14478000"/>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wsDr>
</file>

<file path=xl/drawings/drawing14.xml><?xml version="1.0" encoding="utf-8"?>
<xdr:wsDr xmlns:xdr="http://schemas.openxmlformats.org/drawingml/2006/spreadsheetDrawing" xmlns:a="http://schemas.openxmlformats.org/drawingml/2006/main">
  <xdr:oneCellAnchor>
    <xdr:from>
      <xdr:col>3</xdr:col>
      <xdr:colOff>625514</xdr:colOff>
      <xdr:row>80</xdr:row>
      <xdr:rowOff>0</xdr:rowOff>
    </xdr:from>
    <xdr:ext cx="1103707" cy="264560"/>
    <xdr:sp macro="" textlink="">
      <xdr:nvSpPr>
        <xdr:cNvPr id="2" name="TextBox 1">
          <a:extLst>
            <a:ext uri="{FF2B5EF4-FFF2-40B4-BE49-F238E27FC236}">
              <a16:creationId xmlns:a16="http://schemas.microsoft.com/office/drawing/2014/main" xmlns="" id="{00000000-0008-0000-3100-000002000000}"/>
            </a:ext>
          </a:extLst>
        </xdr:cNvPr>
        <xdr:cNvSpPr txBox="1"/>
      </xdr:nvSpPr>
      <xdr:spPr>
        <a:xfrm>
          <a:off x="2435264" y="15240000"/>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wsDr>
</file>

<file path=xl/drawings/drawing15.xml><?xml version="1.0" encoding="utf-8"?>
<xdr:wsDr xmlns:xdr="http://schemas.openxmlformats.org/drawingml/2006/spreadsheetDrawing" xmlns:a="http://schemas.openxmlformats.org/drawingml/2006/main">
  <xdr:oneCellAnchor>
    <xdr:from>
      <xdr:col>3</xdr:col>
      <xdr:colOff>625514</xdr:colOff>
      <xdr:row>72</xdr:row>
      <xdr:rowOff>0</xdr:rowOff>
    </xdr:from>
    <xdr:ext cx="1103707" cy="264560"/>
    <xdr:sp macro="" textlink="">
      <xdr:nvSpPr>
        <xdr:cNvPr id="2" name="TextBox 1">
          <a:extLst>
            <a:ext uri="{FF2B5EF4-FFF2-40B4-BE49-F238E27FC236}">
              <a16:creationId xmlns:a16="http://schemas.microsoft.com/office/drawing/2014/main" xmlns="" id="{00000000-0008-0000-3200-000002000000}"/>
            </a:ext>
          </a:extLst>
        </xdr:cNvPr>
        <xdr:cNvSpPr txBox="1"/>
      </xdr:nvSpPr>
      <xdr:spPr>
        <a:xfrm>
          <a:off x="3302039" y="22602825"/>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wsDr>
</file>

<file path=xl/drawings/drawing16.xml><?xml version="1.0" encoding="utf-8"?>
<xdr:wsDr xmlns:xdr="http://schemas.openxmlformats.org/drawingml/2006/spreadsheetDrawing" xmlns:a="http://schemas.openxmlformats.org/drawingml/2006/main">
  <xdr:oneCellAnchor>
    <xdr:from>
      <xdr:col>3</xdr:col>
      <xdr:colOff>625514</xdr:colOff>
      <xdr:row>74</xdr:row>
      <xdr:rowOff>0</xdr:rowOff>
    </xdr:from>
    <xdr:ext cx="1103707" cy="264560"/>
    <xdr:sp macro="" textlink="">
      <xdr:nvSpPr>
        <xdr:cNvPr id="2" name="TextBox 1">
          <a:extLst>
            <a:ext uri="{FF2B5EF4-FFF2-40B4-BE49-F238E27FC236}">
              <a16:creationId xmlns:a16="http://schemas.microsoft.com/office/drawing/2014/main" xmlns="" id="{00000000-0008-0000-3300-000002000000}"/>
            </a:ext>
          </a:extLst>
        </xdr:cNvPr>
        <xdr:cNvSpPr txBox="1"/>
      </xdr:nvSpPr>
      <xdr:spPr>
        <a:xfrm>
          <a:off x="2435264" y="15430500"/>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wsDr>
</file>

<file path=xl/drawings/drawing17.xml><?xml version="1.0" encoding="utf-8"?>
<xdr:wsDr xmlns:xdr="http://schemas.openxmlformats.org/drawingml/2006/spreadsheetDrawing" xmlns:a="http://schemas.openxmlformats.org/drawingml/2006/main">
  <xdr:oneCellAnchor>
    <xdr:from>
      <xdr:col>3</xdr:col>
      <xdr:colOff>625514</xdr:colOff>
      <xdr:row>72</xdr:row>
      <xdr:rowOff>0</xdr:rowOff>
    </xdr:from>
    <xdr:ext cx="1103707" cy="264560"/>
    <xdr:sp macro="" textlink="">
      <xdr:nvSpPr>
        <xdr:cNvPr id="2" name="TextBox 1">
          <a:extLst>
            <a:ext uri="{FF2B5EF4-FFF2-40B4-BE49-F238E27FC236}">
              <a16:creationId xmlns:a16="http://schemas.microsoft.com/office/drawing/2014/main" xmlns="" id="{00000000-0008-0000-3400-000002000000}"/>
            </a:ext>
          </a:extLst>
        </xdr:cNvPr>
        <xdr:cNvSpPr txBox="1"/>
      </xdr:nvSpPr>
      <xdr:spPr>
        <a:xfrm>
          <a:off x="3416339" y="22278975"/>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wsDr>
</file>

<file path=xl/drawings/drawing18.xml><?xml version="1.0" encoding="utf-8"?>
<xdr:wsDr xmlns:xdr="http://schemas.openxmlformats.org/drawingml/2006/spreadsheetDrawing" xmlns:a="http://schemas.openxmlformats.org/drawingml/2006/main">
  <xdr:oneCellAnchor>
    <xdr:from>
      <xdr:col>3</xdr:col>
      <xdr:colOff>625514</xdr:colOff>
      <xdr:row>73</xdr:row>
      <xdr:rowOff>0</xdr:rowOff>
    </xdr:from>
    <xdr:ext cx="1103707" cy="264560"/>
    <xdr:sp macro="" textlink="">
      <xdr:nvSpPr>
        <xdr:cNvPr id="2" name="TextBox 1">
          <a:extLst>
            <a:ext uri="{FF2B5EF4-FFF2-40B4-BE49-F238E27FC236}">
              <a16:creationId xmlns:a16="http://schemas.microsoft.com/office/drawing/2014/main" xmlns="" id="{00000000-0008-0000-3500-000002000000}"/>
            </a:ext>
          </a:extLst>
        </xdr:cNvPr>
        <xdr:cNvSpPr txBox="1"/>
      </xdr:nvSpPr>
      <xdr:spPr>
        <a:xfrm>
          <a:off x="3416339" y="21031200"/>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wsDr>
</file>

<file path=xl/drawings/drawing19.xml><?xml version="1.0" encoding="utf-8"?>
<xdr:wsDr xmlns:xdr="http://schemas.openxmlformats.org/drawingml/2006/spreadsheetDrawing" xmlns:a="http://schemas.openxmlformats.org/drawingml/2006/main">
  <xdr:oneCellAnchor>
    <xdr:from>
      <xdr:col>3</xdr:col>
      <xdr:colOff>625514</xdr:colOff>
      <xdr:row>76</xdr:row>
      <xdr:rowOff>0</xdr:rowOff>
    </xdr:from>
    <xdr:ext cx="1103707" cy="264560"/>
    <xdr:sp macro="" textlink="">
      <xdr:nvSpPr>
        <xdr:cNvPr id="2" name="TextBox 1">
          <a:extLst>
            <a:ext uri="{FF2B5EF4-FFF2-40B4-BE49-F238E27FC236}">
              <a16:creationId xmlns:a16="http://schemas.microsoft.com/office/drawing/2014/main" xmlns="" id="{00000000-0008-0000-3600-000002000000}"/>
            </a:ext>
          </a:extLst>
        </xdr:cNvPr>
        <xdr:cNvSpPr txBox="1"/>
      </xdr:nvSpPr>
      <xdr:spPr>
        <a:xfrm>
          <a:off x="3416339" y="21583650"/>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wsDr>
</file>

<file path=xl/drawings/drawing20.xml><?xml version="1.0" encoding="utf-8"?>
<xdr:wsDr xmlns:xdr="http://schemas.openxmlformats.org/drawingml/2006/spreadsheetDrawing" xmlns:a="http://schemas.openxmlformats.org/drawingml/2006/main">
  <xdr:oneCellAnchor>
    <xdr:from>
      <xdr:col>3</xdr:col>
      <xdr:colOff>625514</xdr:colOff>
      <xdr:row>74</xdr:row>
      <xdr:rowOff>0</xdr:rowOff>
    </xdr:from>
    <xdr:ext cx="1103707" cy="264560"/>
    <xdr:sp macro="" textlink="">
      <xdr:nvSpPr>
        <xdr:cNvPr id="2" name="TextBox 1">
          <a:extLst>
            <a:ext uri="{FF2B5EF4-FFF2-40B4-BE49-F238E27FC236}">
              <a16:creationId xmlns:a16="http://schemas.microsoft.com/office/drawing/2014/main" xmlns="" id="{00000000-0008-0000-2B00-000002000000}"/>
            </a:ext>
          </a:extLst>
        </xdr:cNvPr>
        <xdr:cNvSpPr txBox="1"/>
      </xdr:nvSpPr>
      <xdr:spPr>
        <a:xfrm>
          <a:off x="3321089" y="22650450"/>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wsDr>
</file>

<file path=xl/drawings/drawing21.xml><?xml version="1.0" encoding="utf-8"?>
<xdr:wsDr xmlns:xdr="http://schemas.openxmlformats.org/drawingml/2006/spreadsheetDrawing" xmlns:a="http://schemas.openxmlformats.org/drawingml/2006/main">
  <xdr:oneCellAnchor>
    <xdr:from>
      <xdr:col>3</xdr:col>
      <xdr:colOff>625514</xdr:colOff>
      <xdr:row>73</xdr:row>
      <xdr:rowOff>0</xdr:rowOff>
    </xdr:from>
    <xdr:ext cx="1103707" cy="264560"/>
    <xdr:sp macro="" textlink="">
      <xdr:nvSpPr>
        <xdr:cNvPr id="2" name="TextBox 1">
          <a:extLst>
            <a:ext uri="{FF2B5EF4-FFF2-40B4-BE49-F238E27FC236}">
              <a16:creationId xmlns:a16="http://schemas.microsoft.com/office/drawing/2014/main" xmlns="" id="{0A1272FC-649B-8B48-82CC-AC6043A3CBB6}"/>
            </a:ext>
          </a:extLst>
        </xdr:cNvPr>
        <xdr:cNvSpPr txBox="1"/>
      </xdr:nvSpPr>
      <xdr:spPr>
        <a:xfrm>
          <a:off x="3711614" y="24218900"/>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wsDr>
</file>

<file path=xl/drawings/drawing22.xml><?xml version="1.0" encoding="utf-8"?>
<xdr:wsDr xmlns:xdr="http://schemas.openxmlformats.org/drawingml/2006/spreadsheetDrawing" xmlns:a="http://schemas.openxmlformats.org/drawingml/2006/main">
  <xdr:oneCellAnchor>
    <xdr:from>
      <xdr:col>3</xdr:col>
      <xdr:colOff>625514</xdr:colOff>
      <xdr:row>77</xdr:row>
      <xdr:rowOff>0</xdr:rowOff>
    </xdr:from>
    <xdr:ext cx="1103707" cy="264560"/>
    <xdr:sp macro="" textlink="">
      <xdr:nvSpPr>
        <xdr:cNvPr id="2" name="TextBox 1">
          <a:extLst>
            <a:ext uri="{FF2B5EF4-FFF2-40B4-BE49-F238E27FC236}">
              <a16:creationId xmlns:a16="http://schemas.microsoft.com/office/drawing/2014/main" xmlns="" id="{BC75307C-765D-2749-971F-DA37C185FB22}"/>
            </a:ext>
          </a:extLst>
        </xdr:cNvPr>
        <xdr:cNvSpPr txBox="1"/>
      </xdr:nvSpPr>
      <xdr:spPr>
        <a:xfrm>
          <a:off x="3711614" y="24218900"/>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wsDr>
</file>

<file path=xl/drawings/drawing23.xml><?xml version="1.0" encoding="utf-8"?>
<xdr:wsDr xmlns:xdr="http://schemas.openxmlformats.org/drawingml/2006/spreadsheetDrawing" xmlns:a="http://schemas.openxmlformats.org/drawingml/2006/main">
  <xdr:oneCellAnchor>
    <xdr:from>
      <xdr:col>3</xdr:col>
      <xdr:colOff>625514</xdr:colOff>
      <xdr:row>82</xdr:row>
      <xdr:rowOff>0</xdr:rowOff>
    </xdr:from>
    <xdr:ext cx="1103707" cy="264560"/>
    <xdr:sp macro="" textlink="">
      <xdr:nvSpPr>
        <xdr:cNvPr id="2" name="TextBox 1">
          <a:extLst>
            <a:ext uri="{FF2B5EF4-FFF2-40B4-BE49-F238E27FC236}">
              <a16:creationId xmlns:a16="http://schemas.microsoft.com/office/drawing/2014/main" xmlns="" id="{F0C043AE-4A6B-2E4E-8E42-DFAB25B969A9}"/>
            </a:ext>
          </a:extLst>
        </xdr:cNvPr>
        <xdr:cNvSpPr txBox="1"/>
      </xdr:nvSpPr>
      <xdr:spPr>
        <a:xfrm>
          <a:off x="3711614" y="24218900"/>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wsDr>
</file>

<file path=xl/drawings/drawing24.xml><?xml version="1.0" encoding="utf-8"?>
<xdr:wsDr xmlns:xdr="http://schemas.openxmlformats.org/drawingml/2006/spreadsheetDrawing" xmlns:a="http://schemas.openxmlformats.org/drawingml/2006/main">
  <xdr:oneCellAnchor>
    <xdr:from>
      <xdr:col>3</xdr:col>
      <xdr:colOff>625514</xdr:colOff>
      <xdr:row>76</xdr:row>
      <xdr:rowOff>0</xdr:rowOff>
    </xdr:from>
    <xdr:ext cx="1103707" cy="264560"/>
    <xdr:sp macro="" textlink="">
      <xdr:nvSpPr>
        <xdr:cNvPr id="2" name="TextBox 1">
          <a:extLst>
            <a:ext uri="{FF2B5EF4-FFF2-40B4-BE49-F238E27FC236}">
              <a16:creationId xmlns:a16="http://schemas.microsoft.com/office/drawing/2014/main" xmlns="" id="{DD5409A2-84C0-2049-98E3-1F44511CC1BA}"/>
            </a:ext>
          </a:extLst>
        </xdr:cNvPr>
        <xdr:cNvSpPr txBox="1"/>
      </xdr:nvSpPr>
      <xdr:spPr>
        <a:xfrm>
          <a:off x="3711614" y="24218900"/>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wsDr>
</file>

<file path=xl/drawings/drawing25.xml><?xml version="1.0" encoding="utf-8"?>
<xdr:wsDr xmlns:xdr="http://schemas.openxmlformats.org/drawingml/2006/spreadsheetDrawing" xmlns:a="http://schemas.openxmlformats.org/drawingml/2006/main">
  <xdr:oneCellAnchor>
    <xdr:from>
      <xdr:col>3</xdr:col>
      <xdr:colOff>625514</xdr:colOff>
      <xdr:row>73</xdr:row>
      <xdr:rowOff>0</xdr:rowOff>
    </xdr:from>
    <xdr:ext cx="1103707" cy="264560"/>
    <xdr:sp macro="" textlink="">
      <xdr:nvSpPr>
        <xdr:cNvPr id="2" name="TextBox 1">
          <a:extLst>
            <a:ext uri="{FF2B5EF4-FFF2-40B4-BE49-F238E27FC236}">
              <a16:creationId xmlns:a16="http://schemas.microsoft.com/office/drawing/2014/main" xmlns="" id="{DD5409A2-84C0-2049-98E3-1F44511CC1BA}"/>
            </a:ext>
          </a:extLst>
        </xdr:cNvPr>
        <xdr:cNvSpPr txBox="1"/>
      </xdr:nvSpPr>
      <xdr:spPr>
        <a:xfrm>
          <a:off x="3399194" y="24696420"/>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wsDr>
</file>

<file path=xl/drawings/drawing26.xml><?xml version="1.0" encoding="utf-8"?>
<xdr:wsDr xmlns:xdr="http://schemas.openxmlformats.org/drawingml/2006/spreadsheetDrawing" xmlns:a="http://schemas.openxmlformats.org/drawingml/2006/main">
  <xdr:oneCellAnchor>
    <xdr:from>
      <xdr:col>3</xdr:col>
      <xdr:colOff>625514</xdr:colOff>
      <xdr:row>70</xdr:row>
      <xdr:rowOff>0</xdr:rowOff>
    </xdr:from>
    <xdr:ext cx="1103707" cy="264560"/>
    <xdr:sp macro="" textlink="">
      <xdr:nvSpPr>
        <xdr:cNvPr id="2" name="TextBox 1">
          <a:extLst>
            <a:ext uri="{FF2B5EF4-FFF2-40B4-BE49-F238E27FC236}">
              <a16:creationId xmlns:a16="http://schemas.microsoft.com/office/drawing/2014/main" xmlns="" id="{BC75307C-765D-2749-971F-DA37C185FB22}"/>
            </a:ext>
          </a:extLst>
        </xdr:cNvPr>
        <xdr:cNvSpPr txBox="1"/>
      </xdr:nvSpPr>
      <xdr:spPr>
        <a:xfrm>
          <a:off x="3399194" y="25481280"/>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wsDr>
</file>

<file path=xl/drawings/drawing27.xml><?xml version="1.0" encoding="utf-8"?>
<xdr:wsDr xmlns:xdr="http://schemas.openxmlformats.org/drawingml/2006/spreadsheetDrawing" xmlns:a="http://schemas.openxmlformats.org/drawingml/2006/main">
  <xdr:oneCellAnchor>
    <xdr:from>
      <xdr:col>3</xdr:col>
      <xdr:colOff>625514</xdr:colOff>
      <xdr:row>74</xdr:row>
      <xdr:rowOff>0</xdr:rowOff>
    </xdr:from>
    <xdr:ext cx="1103707" cy="264560"/>
    <xdr:sp macro="" textlink="">
      <xdr:nvSpPr>
        <xdr:cNvPr id="2" name="TextBox 1">
          <a:extLst>
            <a:ext uri="{FF2B5EF4-FFF2-40B4-BE49-F238E27FC236}">
              <a16:creationId xmlns:a16="http://schemas.microsoft.com/office/drawing/2014/main" xmlns="" id="{BC75307C-765D-2749-971F-DA37C185FB22}"/>
            </a:ext>
          </a:extLst>
        </xdr:cNvPr>
        <xdr:cNvSpPr txBox="1"/>
      </xdr:nvSpPr>
      <xdr:spPr>
        <a:xfrm>
          <a:off x="3399194" y="21320760"/>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wsDr>
</file>

<file path=xl/drawings/drawing28.xml><?xml version="1.0" encoding="utf-8"?>
<xdr:wsDr xmlns:xdr="http://schemas.openxmlformats.org/drawingml/2006/spreadsheetDrawing" xmlns:a="http://schemas.openxmlformats.org/drawingml/2006/main">
  <xdr:oneCellAnchor>
    <xdr:from>
      <xdr:col>3</xdr:col>
      <xdr:colOff>625514</xdr:colOff>
      <xdr:row>75</xdr:row>
      <xdr:rowOff>0</xdr:rowOff>
    </xdr:from>
    <xdr:ext cx="1103707" cy="264560"/>
    <xdr:sp macro="" textlink="">
      <xdr:nvSpPr>
        <xdr:cNvPr id="2" name="TextBox 1">
          <a:extLst>
            <a:ext uri="{FF2B5EF4-FFF2-40B4-BE49-F238E27FC236}">
              <a16:creationId xmlns:a16="http://schemas.microsoft.com/office/drawing/2014/main" xmlns="" id="{BC75307C-765D-2749-971F-DA37C185FB22}"/>
            </a:ext>
          </a:extLst>
        </xdr:cNvPr>
        <xdr:cNvSpPr txBox="1"/>
      </xdr:nvSpPr>
      <xdr:spPr>
        <a:xfrm>
          <a:off x="3399194" y="22997160"/>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wsDr>
</file>

<file path=xl/drawings/drawing29.xml><?xml version="1.0" encoding="utf-8"?>
<xdr:wsDr xmlns:xdr="http://schemas.openxmlformats.org/drawingml/2006/spreadsheetDrawing" xmlns:a="http://schemas.openxmlformats.org/drawingml/2006/main">
  <xdr:oneCellAnchor>
    <xdr:from>
      <xdr:col>3</xdr:col>
      <xdr:colOff>625514</xdr:colOff>
      <xdr:row>78</xdr:row>
      <xdr:rowOff>0</xdr:rowOff>
    </xdr:from>
    <xdr:ext cx="1103707" cy="264560"/>
    <xdr:sp macro="" textlink="">
      <xdr:nvSpPr>
        <xdr:cNvPr id="2" name="TextBox 1">
          <a:extLst>
            <a:ext uri="{FF2B5EF4-FFF2-40B4-BE49-F238E27FC236}">
              <a16:creationId xmlns:a16="http://schemas.microsoft.com/office/drawing/2014/main" xmlns="" id="{BC75307C-765D-2749-971F-DA37C185FB22}"/>
            </a:ext>
          </a:extLst>
        </xdr:cNvPr>
        <xdr:cNvSpPr txBox="1"/>
      </xdr:nvSpPr>
      <xdr:spPr>
        <a:xfrm>
          <a:off x="3399194" y="23766780"/>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wsDr>
</file>

<file path=xl/drawings/drawing30.xml><?xml version="1.0" encoding="utf-8"?>
<xdr:wsDr xmlns:xdr="http://schemas.openxmlformats.org/drawingml/2006/spreadsheetDrawing" xmlns:a="http://schemas.openxmlformats.org/drawingml/2006/main">
  <xdr:oneCellAnchor>
    <xdr:from>
      <xdr:col>3</xdr:col>
      <xdr:colOff>625514</xdr:colOff>
      <xdr:row>71</xdr:row>
      <xdr:rowOff>0</xdr:rowOff>
    </xdr:from>
    <xdr:ext cx="1103707" cy="264560"/>
    <xdr:sp macro="" textlink="">
      <xdr:nvSpPr>
        <xdr:cNvPr id="2" name="TextBox 1">
          <a:extLst>
            <a:ext uri="{FF2B5EF4-FFF2-40B4-BE49-F238E27FC236}">
              <a16:creationId xmlns:a16="http://schemas.microsoft.com/office/drawing/2014/main" xmlns="" id="{BC75307C-765D-2749-971F-DA37C185FB22}"/>
            </a:ext>
          </a:extLst>
        </xdr:cNvPr>
        <xdr:cNvSpPr txBox="1"/>
      </xdr:nvSpPr>
      <xdr:spPr>
        <a:xfrm>
          <a:off x="3399194" y="25580340"/>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wsDr>
</file>

<file path=xl/drawings/drawing31.xml><?xml version="1.0" encoding="utf-8"?>
<xdr:wsDr xmlns:xdr="http://schemas.openxmlformats.org/drawingml/2006/spreadsheetDrawing" xmlns:a="http://schemas.openxmlformats.org/drawingml/2006/main">
  <xdr:oneCellAnchor>
    <xdr:from>
      <xdr:col>3</xdr:col>
      <xdr:colOff>625514</xdr:colOff>
      <xdr:row>72</xdr:row>
      <xdr:rowOff>0</xdr:rowOff>
    </xdr:from>
    <xdr:ext cx="1103707" cy="264560"/>
    <xdr:sp macro="" textlink="">
      <xdr:nvSpPr>
        <xdr:cNvPr id="2" name="TextBox 1"/>
        <xdr:cNvSpPr txBox="1"/>
      </xdr:nvSpPr>
      <xdr:spPr>
        <a:xfrm>
          <a:off x="3368714" y="22555200"/>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wsDr>
</file>

<file path=xl/drawings/drawing32.xml><?xml version="1.0" encoding="utf-8"?>
<xdr:wsDr xmlns:xdr="http://schemas.openxmlformats.org/drawingml/2006/spreadsheetDrawing" xmlns:a="http://schemas.openxmlformats.org/drawingml/2006/main">
  <xdr:oneCellAnchor>
    <xdr:from>
      <xdr:col>3</xdr:col>
      <xdr:colOff>625514</xdr:colOff>
      <xdr:row>75</xdr:row>
      <xdr:rowOff>0</xdr:rowOff>
    </xdr:from>
    <xdr:ext cx="1103707" cy="264560"/>
    <xdr:sp macro="" textlink="">
      <xdr:nvSpPr>
        <xdr:cNvPr id="2" name="TextBox 1"/>
        <xdr:cNvSpPr txBox="1"/>
      </xdr:nvSpPr>
      <xdr:spPr>
        <a:xfrm>
          <a:off x="3368714" y="22555200"/>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wsDr>
</file>

<file path=xl/drawings/drawing33.xml><?xml version="1.0" encoding="utf-8"?>
<xdr:wsDr xmlns:xdr="http://schemas.openxmlformats.org/drawingml/2006/spreadsheetDrawing" xmlns:a="http://schemas.openxmlformats.org/drawingml/2006/main">
  <xdr:oneCellAnchor>
    <xdr:from>
      <xdr:col>3</xdr:col>
      <xdr:colOff>625514</xdr:colOff>
      <xdr:row>75</xdr:row>
      <xdr:rowOff>0</xdr:rowOff>
    </xdr:from>
    <xdr:ext cx="1103707" cy="264560"/>
    <xdr:sp macro="" textlink="">
      <xdr:nvSpPr>
        <xdr:cNvPr id="2" name="TextBox 1"/>
        <xdr:cNvSpPr txBox="1"/>
      </xdr:nvSpPr>
      <xdr:spPr>
        <a:xfrm>
          <a:off x="3292514" y="23717250"/>
          <a:ext cx="11037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Qu&#7889;c%20l&#7897;%206/Ph&#432;&#417;ng%20&#225;n%20&#273;&#7873;n%20b&#249;%20QL6/PA%20D&#7921;%20th&#7843;o%20c&#244;ng%20khai/10%20PA%20(X&#243;m%20Y&#234;n%20Ki&#7879;n%20&#272;&#7891;i%20-%20&#272;&#7907;t%2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angatang"/>
      <sheetName val="foxz"/>
      <sheetName val="foxz_2"/>
      <sheetName val="foxz_3"/>
      <sheetName val="foxz_4"/>
      <sheetName val="foxz_5"/>
      <sheetName val="foxz_6"/>
      <sheetName val="foxz_7"/>
      <sheetName val="foxz_8"/>
      <sheetName val="foxz_9"/>
      <sheetName val="foxz_10"/>
      <sheetName val="foxz_11"/>
      <sheetName val="foxz_12"/>
      <sheetName val="foxz_13"/>
      <sheetName val="foxz_14"/>
      <sheetName val="foxz_15"/>
      <sheetName val="foxz_16"/>
      <sheetName val="foxz_17"/>
      <sheetName val="foxz_18"/>
      <sheetName val="foxz_19"/>
      <sheetName val="foxz_20"/>
      <sheetName val="foxz_21"/>
      <sheetName val="Nguyễn Thu Trang (4-12)"/>
      <sheetName val="Hoàng Văn Sáu(3-7)"/>
      <sheetName val="Nguyễn Thị Sản(3-5)"/>
      <sheetName val="Lưu Công Khải(3-6)"/>
      <sheetName val="Nguyễn Mạnh Hà"/>
      <sheetName val="Nguyễn Tài Oai(4-6)"/>
      <sheetName val="Bùi Văn Đồng(8-23)"/>
      <sheetName val="BẢNG TỔNG HỢ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sheetData sheetId="23"/>
      <sheetData sheetId="24"/>
      <sheetData sheetId="25"/>
      <sheetData sheetId="26"/>
      <sheetData sheetId="27"/>
      <sheetData sheetId="28">
        <row r="34">
          <cell r="H34">
            <v>0</v>
          </cell>
        </row>
        <row r="49">
          <cell r="H49">
            <v>0</v>
          </cell>
        </row>
        <row r="55">
          <cell r="H55">
            <v>0</v>
          </cell>
        </row>
      </sheetData>
      <sheetData sheetId="2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6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6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6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6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6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6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7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7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7109375" defaultRowHeight="15" x14ac:dyDescent="0.25"/>
  <sheetData/>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75" x14ac:dyDescent="0.25"/>
  <sheetData/>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84"/>
  <sheetViews>
    <sheetView topLeftCell="A18" workbookViewId="0">
      <selection activeCell="B33" sqref="B33:C33"/>
    </sheetView>
  </sheetViews>
  <sheetFormatPr defaultColWidth="9.140625" defaultRowHeight="16.5" x14ac:dyDescent="0.25"/>
  <cols>
    <col min="1" max="1" width="4.28515625" style="68" customWidth="1"/>
    <col min="2" max="2" width="27.42578125" style="20" customWidth="1"/>
    <col min="3" max="3" width="9.140625" style="20" customWidth="1"/>
    <col min="4" max="4" width="24.140625" style="20" customWidth="1"/>
    <col min="5" max="5" width="9.7109375" style="23" customWidth="1"/>
    <col min="6" max="6" width="10.7109375" style="20" customWidth="1"/>
    <col min="7" max="7" width="9.42578125" style="20" customWidth="1"/>
    <col min="8" max="8" width="12.5703125" style="20" customWidth="1"/>
    <col min="9" max="9" width="17.28515625" style="120" customWidth="1"/>
    <col min="10" max="10" width="17" style="20" customWidth="1"/>
    <col min="11" max="11" width="9.140625" style="20" customWidth="1"/>
    <col min="12" max="12" width="11.42578125" style="20" customWidth="1"/>
    <col min="13" max="19" width="9.140625" style="20" customWidth="1"/>
    <col min="20" max="16384" width="9.140625" style="20"/>
  </cols>
  <sheetData>
    <row r="1" spans="1:17" s="36" customFormat="1" x14ac:dyDescent="0.25">
      <c r="A1" s="368" t="s">
        <v>98</v>
      </c>
      <c r="B1" s="368"/>
      <c r="C1" s="368"/>
      <c r="D1" s="368"/>
      <c r="E1" s="368" t="s">
        <v>0</v>
      </c>
      <c r="F1" s="368"/>
      <c r="G1" s="368"/>
      <c r="H1" s="368"/>
      <c r="I1" s="368"/>
    </row>
    <row r="2" spans="1:17" s="36" customFormat="1" x14ac:dyDescent="0.25">
      <c r="A2" s="369" t="s">
        <v>99</v>
      </c>
      <c r="B2" s="369"/>
      <c r="C2" s="369"/>
      <c r="D2" s="369"/>
      <c r="E2" s="369" t="s">
        <v>1</v>
      </c>
      <c r="F2" s="368"/>
      <c r="G2" s="368"/>
      <c r="H2" s="368"/>
      <c r="I2" s="368"/>
    </row>
    <row r="3" spans="1:17" s="36" customFormat="1" ht="9.75" customHeight="1" x14ac:dyDescent="0.25">
      <c r="A3" s="39"/>
      <c r="C3" s="39"/>
      <c r="D3" s="39"/>
      <c r="E3" s="39"/>
      <c r="F3" s="39"/>
      <c r="G3" s="39"/>
      <c r="H3" s="39"/>
      <c r="I3" s="37"/>
    </row>
    <row r="4" spans="1:17" s="36" customFormat="1" ht="19.5" customHeight="1" x14ac:dyDescent="0.25">
      <c r="A4" s="369" t="s">
        <v>89</v>
      </c>
      <c r="B4" s="369"/>
      <c r="C4" s="369"/>
      <c r="D4" s="369"/>
      <c r="E4" s="370" t="s">
        <v>165</v>
      </c>
      <c r="F4" s="370"/>
      <c r="G4" s="370"/>
      <c r="H4" s="370"/>
      <c r="I4" s="370"/>
    </row>
    <row r="5" spans="1:17" s="40" customFormat="1" ht="21.75" customHeight="1" x14ac:dyDescent="0.25">
      <c r="A5" s="371" t="s">
        <v>85</v>
      </c>
      <c r="B5" s="371"/>
      <c r="C5" s="371"/>
      <c r="D5" s="371"/>
      <c r="E5" s="371"/>
      <c r="F5" s="371"/>
      <c r="G5" s="371"/>
      <c r="H5" s="371"/>
      <c r="I5" s="371"/>
    </row>
    <row r="6" spans="1:17" s="40" customFormat="1" ht="34.5" customHeight="1" x14ac:dyDescent="0.25">
      <c r="A6" s="372" t="s">
        <v>86</v>
      </c>
      <c r="B6" s="372"/>
      <c r="C6" s="372"/>
      <c r="D6" s="372"/>
      <c r="E6" s="372"/>
      <c r="F6" s="372"/>
      <c r="G6" s="372"/>
      <c r="H6" s="372"/>
      <c r="I6" s="372"/>
      <c r="Q6" s="41"/>
    </row>
    <row r="7" spans="1:17" s="40" customFormat="1" ht="23.25" customHeight="1" x14ac:dyDescent="0.25">
      <c r="A7" s="373" t="s">
        <v>166</v>
      </c>
      <c r="B7" s="373"/>
      <c r="C7" s="373"/>
      <c r="D7" s="373"/>
      <c r="E7" s="373"/>
      <c r="F7" s="373"/>
      <c r="G7" s="373"/>
      <c r="H7" s="373"/>
      <c r="I7" s="373"/>
    </row>
    <row r="8" spans="1:17" s="42" customFormat="1" ht="19.899999999999999" customHeight="1" x14ac:dyDescent="0.25">
      <c r="A8" s="121" t="s">
        <v>2</v>
      </c>
      <c r="B8" s="362" t="s">
        <v>3</v>
      </c>
      <c r="C8" s="362"/>
      <c r="D8" s="362"/>
      <c r="E8" s="362"/>
      <c r="F8" s="362"/>
      <c r="G8" s="362"/>
      <c r="H8" s="362"/>
      <c r="I8" s="362"/>
    </row>
    <row r="9" spans="1:17" s="42" customFormat="1" ht="19.899999999999999" customHeight="1" x14ac:dyDescent="0.25">
      <c r="A9" s="121" t="s">
        <v>4</v>
      </c>
      <c r="B9" s="374" t="s">
        <v>5</v>
      </c>
      <c r="C9" s="374"/>
      <c r="D9" s="374"/>
      <c r="E9" s="374"/>
      <c r="F9" s="375" t="s">
        <v>167</v>
      </c>
      <c r="G9" s="375"/>
      <c r="H9" s="375"/>
      <c r="I9" s="375"/>
    </row>
    <row r="10" spans="1:17" s="42" customFormat="1" ht="19.899999999999999" customHeight="1" x14ac:dyDescent="0.25">
      <c r="A10" s="122"/>
      <c r="B10" s="24" t="s">
        <v>6</v>
      </c>
      <c r="C10" s="365" t="s">
        <v>169</v>
      </c>
      <c r="D10" s="365"/>
      <c r="E10" s="365"/>
      <c r="F10" s="365"/>
      <c r="G10" s="365"/>
      <c r="H10" s="365"/>
      <c r="I10" s="365"/>
    </row>
    <row r="11" spans="1:17" s="42" customFormat="1" ht="19.899999999999999" customHeight="1" x14ac:dyDescent="0.25">
      <c r="A11" s="122"/>
      <c r="B11" s="24" t="s">
        <v>7</v>
      </c>
      <c r="C11" s="365" t="s">
        <v>169</v>
      </c>
      <c r="D11" s="365"/>
      <c r="E11" s="365"/>
      <c r="F11" s="365"/>
      <c r="G11" s="365"/>
      <c r="H11" s="365"/>
      <c r="I11" s="365"/>
    </row>
    <row r="12" spans="1:17" s="42" customFormat="1" ht="19.899999999999999" customHeight="1" x14ac:dyDescent="0.25">
      <c r="A12" s="122"/>
      <c r="B12" s="24" t="s">
        <v>11</v>
      </c>
      <c r="C12" s="361" t="s">
        <v>168</v>
      </c>
      <c r="D12" s="361"/>
      <c r="E12" s="361"/>
      <c r="F12" s="43"/>
      <c r="G12" s="43"/>
      <c r="H12" s="43"/>
      <c r="I12" s="43"/>
    </row>
    <row r="13" spans="1:17" s="42" customFormat="1" ht="19.899999999999999" customHeight="1" x14ac:dyDescent="0.25">
      <c r="A13" s="121" t="s">
        <v>9</v>
      </c>
      <c r="B13" s="44" t="s">
        <v>10</v>
      </c>
      <c r="E13" s="43"/>
      <c r="F13" s="362" t="str">
        <f>F9</f>
        <v>Nguyễn Vũ Mạnh - Nguyễn Thị Luân</v>
      </c>
      <c r="G13" s="362"/>
      <c r="H13" s="362"/>
      <c r="I13" s="362"/>
      <c r="J13" s="146"/>
    </row>
    <row r="14" spans="1:17" s="42" customFormat="1" ht="19.899999999999999" customHeight="1" x14ac:dyDescent="0.25">
      <c r="A14" s="122"/>
      <c r="B14" s="24" t="s">
        <v>6</v>
      </c>
      <c r="C14" s="365" t="str">
        <f>+C10</f>
        <v>Thôn Thanh Trì - Xã Phú Nghĩa - TP Hà Nội</v>
      </c>
      <c r="D14" s="365"/>
      <c r="E14" s="365"/>
      <c r="F14" s="365"/>
      <c r="G14" s="365"/>
      <c r="H14" s="365"/>
      <c r="I14" s="365"/>
    </row>
    <row r="15" spans="1:17" s="42" customFormat="1" ht="19.899999999999999" customHeight="1" x14ac:dyDescent="0.25">
      <c r="A15" s="122"/>
      <c r="B15" s="24" t="s">
        <v>7</v>
      </c>
      <c r="C15" s="365" t="str">
        <f>C11</f>
        <v>Thôn Thanh Trì - Xã Phú Nghĩa - TP Hà Nội</v>
      </c>
      <c r="D15" s="365"/>
      <c r="E15" s="365"/>
      <c r="F15" s="365"/>
      <c r="G15" s="365"/>
      <c r="H15" s="365"/>
      <c r="I15" s="365"/>
    </row>
    <row r="16" spans="1:17" s="42" customFormat="1" ht="19.899999999999999" customHeight="1" x14ac:dyDescent="0.25">
      <c r="A16" s="122"/>
      <c r="B16" s="24" t="s">
        <v>11</v>
      </c>
      <c r="C16" s="361" t="str">
        <f>+C12</f>
        <v>001090006511</v>
      </c>
      <c r="D16" s="361"/>
      <c r="E16" s="361"/>
      <c r="F16" s="43"/>
      <c r="G16" s="43"/>
      <c r="H16" s="43"/>
      <c r="I16" s="43"/>
    </row>
    <row r="17" spans="1:19" s="42" customFormat="1" ht="19.899999999999999" customHeight="1" x14ac:dyDescent="0.25">
      <c r="A17" s="121" t="s">
        <v>12</v>
      </c>
      <c r="B17" s="362" t="s">
        <v>13</v>
      </c>
      <c r="C17" s="362"/>
      <c r="D17" s="362"/>
      <c r="E17" s="362"/>
      <c r="F17" s="362"/>
      <c r="G17" s="362"/>
      <c r="H17" s="362"/>
      <c r="I17" s="362"/>
    </row>
    <row r="18" spans="1:19" s="42" customFormat="1" ht="19.899999999999999" customHeight="1" x14ac:dyDescent="0.25">
      <c r="A18" s="121" t="s">
        <v>4</v>
      </c>
      <c r="B18" s="46" t="s">
        <v>14</v>
      </c>
      <c r="E18" s="43"/>
    </row>
    <row r="19" spans="1:19" s="51" customFormat="1" ht="19.899999999999999" customHeight="1" x14ac:dyDescent="0.25">
      <c r="A19" s="123"/>
      <c r="B19" s="47" t="s">
        <v>15</v>
      </c>
      <c r="C19" s="144" t="s">
        <v>170</v>
      </c>
      <c r="D19" s="363" t="s">
        <v>16</v>
      </c>
      <c r="E19" s="363"/>
      <c r="F19" s="49" t="s">
        <v>128</v>
      </c>
      <c r="G19" s="50"/>
      <c r="I19" s="50"/>
    </row>
    <row r="20" spans="1:19" s="51" customFormat="1" ht="19.899999999999999" customHeight="1" x14ac:dyDescent="0.25">
      <c r="A20" s="123"/>
      <c r="B20" s="47" t="s">
        <v>17</v>
      </c>
      <c r="C20" s="52">
        <v>491.8</v>
      </c>
      <c r="D20" s="50" t="s">
        <v>105</v>
      </c>
      <c r="E20" s="53"/>
      <c r="F20" s="54"/>
      <c r="H20" s="55"/>
      <c r="I20" s="50"/>
    </row>
    <row r="21" spans="1:19" s="51" customFormat="1" ht="19.899999999999999" customHeight="1" x14ac:dyDescent="0.25">
      <c r="A21" s="123"/>
      <c r="B21" s="56" t="s">
        <v>18</v>
      </c>
      <c r="C21" s="57"/>
      <c r="D21" s="50"/>
      <c r="E21" s="53"/>
      <c r="F21" s="50"/>
      <c r="H21" s="55"/>
      <c r="I21" s="50"/>
      <c r="J21" s="133"/>
    </row>
    <row r="22" spans="1:19" s="51" customFormat="1" ht="19.899999999999999" customHeight="1" x14ac:dyDescent="0.25">
      <c r="A22" s="123"/>
      <c r="B22" s="47" t="s">
        <v>19</v>
      </c>
      <c r="C22" s="52">
        <v>70.5</v>
      </c>
      <c r="D22" s="50" t="s">
        <v>105</v>
      </c>
      <c r="E22" s="53"/>
      <c r="F22" s="50"/>
      <c r="H22" s="55"/>
      <c r="I22" s="50"/>
      <c r="J22" s="133"/>
    </row>
    <row r="23" spans="1:19" s="51" customFormat="1" ht="19.899999999999999" customHeight="1" x14ac:dyDescent="0.25">
      <c r="A23" s="123"/>
      <c r="B23" s="47" t="s">
        <v>20</v>
      </c>
      <c r="C23" s="57">
        <f>C20-C22</f>
        <v>421.3</v>
      </c>
      <c r="D23" s="50" t="s">
        <v>105</v>
      </c>
      <c r="E23" s="53"/>
      <c r="F23" s="50"/>
      <c r="H23" s="55"/>
      <c r="I23" s="50"/>
      <c r="J23" s="133"/>
    </row>
    <row r="24" spans="1:19" s="42" customFormat="1" ht="19.899999999999999" customHeight="1" x14ac:dyDescent="0.25">
      <c r="A24" s="122"/>
      <c r="B24" s="24" t="s">
        <v>21</v>
      </c>
      <c r="C24" s="362" t="s">
        <v>171</v>
      </c>
      <c r="D24" s="362"/>
      <c r="E24" s="362"/>
      <c r="F24" s="362"/>
      <c r="G24" s="362"/>
      <c r="H24" s="362"/>
      <c r="I24" s="362"/>
      <c r="J24" s="142"/>
    </row>
    <row r="25" spans="1:19" s="36" customFormat="1" ht="331.15" customHeight="1" x14ac:dyDescent="0.25">
      <c r="A25" s="39" t="s">
        <v>23</v>
      </c>
      <c r="B25" s="58" t="s">
        <v>73</v>
      </c>
      <c r="C25" s="366" t="s">
        <v>562</v>
      </c>
      <c r="D25" s="367"/>
      <c r="E25" s="367"/>
      <c r="F25" s="367"/>
      <c r="G25" s="367"/>
      <c r="H25" s="367"/>
      <c r="I25" s="367"/>
      <c r="J25" s="133"/>
      <c r="K25" s="239"/>
      <c r="L25" s="59"/>
      <c r="M25" s="59"/>
      <c r="N25" s="59"/>
      <c r="O25" s="59"/>
      <c r="P25" s="59"/>
      <c r="Q25" s="59"/>
      <c r="R25" s="59"/>
      <c r="S25" s="59"/>
    </row>
    <row r="26" spans="1:19" s="36" customFormat="1" ht="19.899999999999999" customHeight="1" x14ac:dyDescent="0.25">
      <c r="A26" s="39" t="s">
        <v>81</v>
      </c>
      <c r="B26" s="364" t="s">
        <v>82</v>
      </c>
      <c r="C26" s="364"/>
      <c r="D26" s="364"/>
      <c r="E26" s="364"/>
      <c r="F26" s="364"/>
      <c r="G26" s="60"/>
      <c r="H26" s="149" t="s">
        <v>112</v>
      </c>
      <c r="I26" s="60" t="s">
        <v>55</v>
      </c>
      <c r="J26" s="59"/>
      <c r="K26" s="142"/>
      <c r="L26" s="59"/>
      <c r="M26" s="59"/>
      <c r="N26" s="59"/>
      <c r="O26" s="59"/>
      <c r="P26" s="59"/>
      <c r="Q26" s="59"/>
      <c r="R26" s="59"/>
      <c r="S26" s="59"/>
    </row>
    <row r="27" spans="1:19" s="36" customFormat="1" ht="19.899999999999999" customHeight="1" x14ac:dyDescent="0.25">
      <c r="A27" s="39" t="s">
        <v>83</v>
      </c>
      <c r="B27" s="364" t="s">
        <v>65</v>
      </c>
      <c r="C27" s="364"/>
      <c r="D27" s="364"/>
      <c r="E27" s="364"/>
      <c r="F27" s="364"/>
      <c r="G27" s="364"/>
      <c r="H27" s="148" t="s">
        <v>113</v>
      </c>
      <c r="I27" s="60" t="s">
        <v>84</v>
      </c>
      <c r="J27" s="59"/>
      <c r="K27" s="59"/>
      <c r="L27" s="59"/>
      <c r="M27" s="59"/>
      <c r="N27" s="59"/>
      <c r="O27" s="59"/>
      <c r="P27" s="59"/>
      <c r="Q27" s="59"/>
      <c r="R27" s="59"/>
      <c r="S27" s="59"/>
    </row>
    <row r="28" spans="1:19" s="41" customFormat="1" x14ac:dyDescent="0.25">
      <c r="A28" s="39" t="s">
        <v>88</v>
      </c>
      <c r="B28" s="364" t="s">
        <v>87</v>
      </c>
      <c r="C28" s="364"/>
      <c r="D28" s="364"/>
      <c r="E28" s="364"/>
      <c r="F28" s="364"/>
      <c r="G28" s="364"/>
      <c r="H28" s="364"/>
      <c r="I28" s="364"/>
    </row>
    <row r="29" spans="1:19" s="40" customFormat="1" x14ac:dyDescent="0.25">
      <c r="A29" s="39" t="s">
        <v>4</v>
      </c>
      <c r="B29" s="360" t="s">
        <v>24</v>
      </c>
      <c r="C29" s="360"/>
      <c r="D29" s="360"/>
      <c r="E29" s="360"/>
      <c r="F29" s="360"/>
      <c r="G29" s="360"/>
      <c r="H29" s="360"/>
      <c r="I29" s="360"/>
      <c r="J29" s="41"/>
      <c r="K29" s="41"/>
      <c r="L29" s="41"/>
      <c r="M29" s="41"/>
      <c r="N29" s="41"/>
      <c r="O29" s="41"/>
      <c r="P29" s="41"/>
      <c r="Q29" s="41"/>
      <c r="R29" s="41"/>
      <c r="S29" s="41"/>
    </row>
    <row r="30" spans="1:19" s="24" customFormat="1" ht="32.25" customHeight="1" x14ac:dyDescent="0.25">
      <c r="A30" s="351" t="s">
        <v>25</v>
      </c>
      <c r="B30" s="353" t="s">
        <v>26</v>
      </c>
      <c r="C30" s="354"/>
      <c r="D30" s="354"/>
      <c r="E30" s="354"/>
      <c r="F30" s="354"/>
      <c r="G30" s="354"/>
      <c r="H30" s="354"/>
      <c r="I30" s="355"/>
    </row>
    <row r="31" spans="1:19" s="25" customFormat="1" ht="49.5" x14ac:dyDescent="0.25">
      <c r="A31" s="352"/>
      <c r="B31" s="353" t="s">
        <v>27</v>
      </c>
      <c r="C31" s="355"/>
      <c r="D31" s="21" t="s">
        <v>28</v>
      </c>
      <c r="E31" s="22" t="s">
        <v>29</v>
      </c>
      <c r="F31" s="22" t="s">
        <v>30</v>
      </c>
      <c r="G31" s="21" t="s">
        <v>31</v>
      </c>
      <c r="H31" s="22" t="s">
        <v>104</v>
      </c>
      <c r="I31" s="22" t="s">
        <v>33</v>
      </c>
    </row>
    <row r="32" spans="1:19" s="62" customFormat="1" ht="18.75" customHeight="1" x14ac:dyDescent="0.25">
      <c r="A32" s="61">
        <v>1</v>
      </c>
      <c r="B32" s="356">
        <v>2</v>
      </c>
      <c r="C32" s="357"/>
      <c r="D32" s="61">
        <v>3</v>
      </c>
      <c r="E32" s="61">
        <v>4</v>
      </c>
      <c r="F32" s="61">
        <v>5</v>
      </c>
      <c r="G32" s="61">
        <v>6</v>
      </c>
      <c r="H32" s="61">
        <v>7</v>
      </c>
      <c r="I32" s="61">
        <v>8</v>
      </c>
    </row>
    <row r="33" spans="1:9" s="68" customFormat="1" ht="39.6" customHeight="1" x14ac:dyDescent="0.25">
      <c r="A33" s="63">
        <v>1</v>
      </c>
      <c r="B33" s="358" t="s">
        <v>563</v>
      </c>
      <c r="C33" s="359"/>
      <c r="D33" s="64" t="s">
        <v>106</v>
      </c>
      <c r="E33" s="65">
        <f>C22</f>
        <v>70.5</v>
      </c>
      <c r="F33" s="63"/>
      <c r="G33" s="66"/>
      <c r="H33" s="166">
        <f>E33*F33*G33</f>
        <v>0</v>
      </c>
      <c r="I33" s="67"/>
    </row>
    <row r="34" spans="1:9" s="71" customFormat="1" ht="21" customHeight="1" x14ac:dyDescent="0.25">
      <c r="A34" s="69"/>
      <c r="B34" s="349" t="s">
        <v>34</v>
      </c>
      <c r="C34" s="350"/>
      <c r="D34" s="69"/>
      <c r="E34" s="69"/>
      <c r="F34" s="69"/>
      <c r="G34" s="69"/>
      <c r="H34" s="169">
        <f>SUM(H33:H33)</f>
        <v>0</v>
      </c>
      <c r="I34" s="69"/>
    </row>
    <row r="35" spans="1:9" ht="6" customHeight="1" x14ac:dyDescent="0.25">
      <c r="A35" s="77"/>
      <c r="B35" s="72"/>
      <c r="C35" s="72"/>
      <c r="D35" s="73"/>
      <c r="E35" s="73"/>
      <c r="F35" s="73"/>
      <c r="G35" s="73"/>
      <c r="H35" s="73"/>
      <c r="I35" s="73"/>
    </row>
    <row r="36" spans="1:9" ht="16.5" customHeight="1" x14ac:dyDescent="0.25">
      <c r="A36" s="75" t="s">
        <v>9</v>
      </c>
      <c r="B36" s="360" t="s">
        <v>35</v>
      </c>
      <c r="C36" s="360"/>
      <c r="D36" s="360"/>
      <c r="E36" s="360"/>
      <c r="F36" s="360"/>
      <c r="G36" s="360"/>
      <c r="H36" s="360"/>
      <c r="I36" s="360"/>
    </row>
    <row r="37" spans="1:9" s="23" customFormat="1" ht="49.5" x14ac:dyDescent="0.25">
      <c r="A37" s="29" t="s">
        <v>25</v>
      </c>
      <c r="B37" s="353" t="s">
        <v>27</v>
      </c>
      <c r="C37" s="355"/>
      <c r="D37" s="21" t="s">
        <v>28</v>
      </c>
      <c r="E37" s="22" t="s">
        <v>29</v>
      </c>
      <c r="F37" s="22" t="s">
        <v>30</v>
      </c>
      <c r="G37" s="21" t="s">
        <v>31</v>
      </c>
      <c r="H37" s="22" t="s">
        <v>32</v>
      </c>
      <c r="I37" s="22" t="s">
        <v>33</v>
      </c>
    </row>
    <row r="38" spans="1:9" s="62" customFormat="1" ht="18" customHeight="1" x14ac:dyDescent="0.25">
      <c r="A38" s="61">
        <v>1</v>
      </c>
      <c r="B38" s="356">
        <v>2</v>
      </c>
      <c r="C38" s="357"/>
      <c r="D38" s="61">
        <v>3</v>
      </c>
      <c r="E38" s="61">
        <v>4</v>
      </c>
      <c r="F38" s="61">
        <v>5</v>
      </c>
      <c r="G38" s="61">
        <v>6</v>
      </c>
      <c r="H38" s="61">
        <v>7</v>
      </c>
      <c r="I38" s="61">
        <v>8</v>
      </c>
    </row>
    <row r="39" spans="1:9" ht="37.5" customHeight="1" x14ac:dyDescent="0.25">
      <c r="A39" s="26">
        <v>1</v>
      </c>
      <c r="B39" s="353"/>
      <c r="C39" s="355"/>
      <c r="D39" s="27"/>
      <c r="E39" s="22"/>
      <c r="F39" s="27"/>
      <c r="G39" s="27"/>
      <c r="H39" s="27"/>
      <c r="I39" s="26" t="s">
        <v>36</v>
      </c>
    </row>
    <row r="40" spans="1:9" s="71" customFormat="1" ht="25.5" customHeight="1" x14ac:dyDescent="0.25">
      <c r="A40" s="69"/>
      <c r="B40" s="349" t="s">
        <v>34</v>
      </c>
      <c r="C40" s="350"/>
      <c r="D40" s="74"/>
      <c r="E40" s="69"/>
      <c r="F40" s="74"/>
      <c r="G40" s="74"/>
      <c r="H40" s="74"/>
      <c r="I40" s="69"/>
    </row>
    <row r="41" spans="1:9" x14ac:dyDescent="0.25">
      <c r="A41" s="124"/>
      <c r="B41" s="75"/>
      <c r="C41" s="75"/>
      <c r="D41" s="76"/>
      <c r="E41" s="75"/>
      <c r="F41" s="76"/>
      <c r="G41" s="76"/>
      <c r="H41" s="76"/>
      <c r="I41" s="75"/>
    </row>
    <row r="42" spans="1:9" x14ac:dyDescent="0.25">
      <c r="A42" s="324"/>
      <c r="B42" s="327" t="s">
        <v>37</v>
      </c>
      <c r="C42" s="328"/>
      <c r="D42" s="328"/>
      <c r="E42" s="328"/>
      <c r="F42" s="328"/>
      <c r="G42" s="329"/>
      <c r="H42" s="27"/>
      <c r="I42" s="26" t="s">
        <v>74</v>
      </c>
    </row>
    <row r="43" spans="1:9" x14ac:dyDescent="0.25">
      <c r="A43" s="325"/>
      <c r="B43" s="330" t="s">
        <v>38</v>
      </c>
      <c r="C43" s="331"/>
      <c r="D43" s="331"/>
      <c r="E43" s="331"/>
      <c r="F43" s="331"/>
      <c r="G43" s="332"/>
      <c r="H43" s="27"/>
      <c r="I43" s="26" t="s">
        <v>74</v>
      </c>
    </row>
    <row r="44" spans="1:9" x14ac:dyDescent="0.25">
      <c r="A44" s="326"/>
      <c r="B44" s="333" t="s">
        <v>39</v>
      </c>
      <c r="C44" s="334"/>
      <c r="D44" s="334"/>
      <c r="E44" s="334"/>
      <c r="F44" s="334"/>
      <c r="G44" s="335"/>
      <c r="H44" s="27"/>
      <c r="I44" s="26" t="s">
        <v>74</v>
      </c>
    </row>
    <row r="45" spans="1:9" ht="12" customHeight="1" x14ac:dyDescent="0.25">
      <c r="A45" s="77"/>
      <c r="B45" s="72"/>
      <c r="C45" s="72"/>
      <c r="D45" s="72"/>
      <c r="E45" s="78"/>
      <c r="F45" s="72"/>
      <c r="G45" s="72"/>
      <c r="H45" s="79"/>
      <c r="I45" s="79"/>
    </row>
    <row r="46" spans="1:9" ht="18" customHeight="1" x14ac:dyDescent="0.25">
      <c r="A46" s="125" t="s">
        <v>22</v>
      </c>
      <c r="B46" s="336" t="s">
        <v>40</v>
      </c>
      <c r="C46" s="336"/>
      <c r="D46" s="336"/>
      <c r="E46" s="336"/>
      <c r="F46" s="336"/>
      <c r="G46" s="336"/>
      <c r="H46" s="80"/>
      <c r="I46" s="81"/>
    </row>
    <row r="47" spans="1:9" s="30" customFormat="1" ht="49.5" x14ac:dyDescent="0.25">
      <c r="A47" s="21" t="s">
        <v>25</v>
      </c>
      <c r="B47" s="21" t="s">
        <v>41</v>
      </c>
      <c r="C47" s="21" t="s">
        <v>28</v>
      </c>
      <c r="D47" s="21" t="s">
        <v>42</v>
      </c>
      <c r="E47" s="21" t="s">
        <v>43</v>
      </c>
      <c r="F47" s="21" t="s">
        <v>44</v>
      </c>
      <c r="G47" s="21" t="s">
        <v>31</v>
      </c>
      <c r="H47" s="21" t="s">
        <v>45</v>
      </c>
      <c r="I47" s="21" t="s">
        <v>33</v>
      </c>
    </row>
    <row r="48" spans="1:9" s="83" customFormat="1" ht="18" customHeight="1" x14ac:dyDescent="0.25">
      <c r="A48" s="82">
        <v>1</v>
      </c>
      <c r="B48" s="82">
        <v>2</v>
      </c>
      <c r="C48" s="82">
        <v>3</v>
      </c>
      <c r="D48" s="82">
        <v>4</v>
      </c>
      <c r="E48" s="82">
        <v>5</v>
      </c>
      <c r="F48" s="82">
        <v>6</v>
      </c>
      <c r="G48" s="82">
        <v>7</v>
      </c>
      <c r="H48" s="82">
        <v>8</v>
      </c>
      <c r="I48" s="82">
        <v>9</v>
      </c>
    </row>
    <row r="49" spans="1:9" s="89" customFormat="1" ht="30" customHeight="1" x14ac:dyDescent="0.25">
      <c r="A49" s="21" t="s">
        <v>46</v>
      </c>
      <c r="B49" s="84" t="s">
        <v>47</v>
      </c>
      <c r="C49" s="85"/>
      <c r="D49" s="85"/>
      <c r="E49" s="86"/>
      <c r="F49" s="85"/>
      <c r="G49" s="85"/>
      <c r="H49" s="157">
        <f>SUM(H50:H60)</f>
        <v>0</v>
      </c>
      <c r="I49" s="88"/>
    </row>
    <row r="50" spans="1:9" s="89" customFormat="1" ht="25.15" customHeight="1" x14ac:dyDescent="0.25">
      <c r="A50" s="90">
        <v>1</v>
      </c>
      <c r="B50" s="91" t="s">
        <v>90</v>
      </c>
      <c r="C50" s="64" t="s">
        <v>106</v>
      </c>
      <c r="D50" s="90" t="s">
        <v>172</v>
      </c>
      <c r="E50" s="92">
        <f>3.5*9.96</f>
        <v>34.86</v>
      </c>
      <c r="F50" s="93"/>
      <c r="G50" s="93"/>
      <c r="H50" s="240"/>
      <c r="I50" s="347" t="s">
        <v>110</v>
      </c>
    </row>
    <row r="51" spans="1:9" s="89" customFormat="1" ht="34.15" customHeight="1" x14ac:dyDescent="0.25">
      <c r="A51" s="90">
        <v>2</v>
      </c>
      <c r="B51" s="91" t="s">
        <v>173</v>
      </c>
      <c r="C51" s="64" t="s">
        <v>106</v>
      </c>
      <c r="D51" s="90" t="s">
        <v>174</v>
      </c>
      <c r="E51" s="92">
        <f>4.5*9.96</f>
        <v>44.820000000000007</v>
      </c>
      <c r="F51" s="93"/>
      <c r="G51" s="93"/>
      <c r="H51" s="240"/>
      <c r="I51" s="348"/>
    </row>
    <row r="52" spans="1:9" s="89" customFormat="1" ht="25.15" customHeight="1" x14ac:dyDescent="0.25">
      <c r="A52" s="90">
        <v>3</v>
      </c>
      <c r="B52" s="91" t="s">
        <v>175</v>
      </c>
      <c r="C52" s="64" t="s">
        <v>106</v>
      </c>
      <c r="D52" s="90" t="s">
        <v>176</v>
      </c>
      <c r="E52" s="92">
        <f>8*9.96</f>
        <v>79.680000000000007</v>
      </c>
      <c r="F52" s="93"/>
      <c r="G52" s="93"/>
      <c r="H52" s="240"/>
      <c r="I52" s="348"/>
    </row>
    <row r="53" spans="1:9" s="89" customFormat="1" ht="75.75" customHeight="1" x14ac:dyDescent="0.25">
      <c r="A53" s="90">
        <v>4</v>
      </c>
      <c r="B53" s="91" t="s">
        <v>177</v>
      </c>
      <c r="C53" s="64" t="s">
        <v>106</v>
      </c>
      <c r="D53" s="90" t="s">
        <v>178</v>
      </c>
      <c r="E53" s="231">
        <f>(7.2*5.1)+(3.01*6.08)</f>
        <v>55.020799999999994</v>
      </c>
      <c r="F53" s="93"/>
      <c r="G53" s="93"/>
      <c r="H53" s="240"/>
      <c r="I53" s="348"/>
    </row>
    <row r="54" spans="1:9" s="89" customFormat="1" ht="37.5" customHeight="1" x14ac:dyDescent="0.25">
      <c r="A54" s="90"/>
      <c r="B54" s="132" t="s">
        <v>109</v>
      </c>
      <c r="C54" s="64" t="s">
        <v>106</v>
      </c>
      <c r="D54" s="90" t="s">
        <v>179</v>
      </c>
      <c r="E54" s="231">
        <v>49.48</v>
      </c>
      <c r="F54" s="93"/>
      <c r="G54" s="93"/>
      <c r="H54" s="240"/>
      <c r="I54" s="348"/>
    </row>
    <row r="55" spans="1:9" s="89" customFormat="1" ht="37.5" customHeight="1" x14ac:dyDescent="0.25">
      <c r="A55" s="90"/>
      <c r="B55" s="132" t="s">
        <v>120</v>
      </c>
      <c r="C55" s="64" t="s">
        <v>106</v>
      </c>
      <c r="D55" s="96"/>
      <c r="E55" s="241">
        <f>E53-E54</f>
        <v>5.5407999999999973</v>
      </c>
      <c r="F55" s="93"/>
      <c r="G55" s="93"/>
      <c r="H55" s="240"/>
      <c r="I55" s="348"/>
    </row>
    <row r="56" spans="1:9" s="89" customFormat="1" ht="37.5" customHeight="1" x14ac:dyDescent="0.25">
      <c r="A56" s="90" t="s">
        <v>131</v>
      </c>
      <c r="B56" s="132" t="s">
        <v>134</v>
      </c>
      <c r="C56" s="64" t="s">
        <v>106</v>
      </c>
      <c r="D56" s="96" t="s">
        <v>145</v>
      </c>
      <c r="E56" s="241">
        <f>E53</f>
        <v>55.020799999999994</v>
      </c>
      <c r="F56" s="93"/>
      <c r="G56" s="93"/>
      <c r="H56" s="240"/>
      <c r="I56" s="348"/>
    </row>
    <row r="57" spans="1:9" s="89" customFormat="1" ht="37.5" customHeight="1" x14ac:dyDescent="0.25">
      <c r="A57" s="90"/>
      <c r="B57" s="132" t="s">
        <v>115</v>
      </c>
      <c r="C57" s="64" t="s">
        <v>106</v>
      </c>
      <c r="D57" s="96" t="s">
        <v>147</v>
      </c>
      <c r="E57" s="241">
        <f>E54</f>
        <v>49.48</v>
      </c>
      <c r="F57" s="93"/>
      <c r="G57" s="93"/>
      <c r="H57" s="240"/>
      <c r="I57" s="348"/>
    </row>
    <row r="58" spans="1:9" s="89" customFormat="1" ht="37.5" customHeight="1" x14ac:dyDescent="0.25">
      <c r="A58" s="90"/>
      <c r="B58" s="132" t="s">
        <v>129</v>
      </c>
      <c r="C58" s="64" t="s">
        <v>106</v>
      </c>
      <c r="D58" s="96" t="s">
        <v>148</v>
      </c>
      <c r="E58" s="241">
        <f>E55</f>
        <v>5.5407999999999973</v>
      </c>
      <c r="F58" s="93"/>
      <c r="G58" s="93"/>
      <c r="H58" s="240"/>
      <c r="I58" s="348"/>
    </row>
    <row r="59" spans="1:9" s="89" customFormat="1" ht="37.5" customHeight="1" x14ac:dyDescent="0.25">
      <c r="A59" s="90">
        <v>5</v>
      </c>
      <c r="B59" s="132" t="s">
        <v>181</v>
      </c>
      <c r="C59" s="64" t="s">
        <v>106</v>
      </c>
      <c r="D59" s="96" t="s">
        <v>180</v>
      </c>
      <c r="E59" s="241">
        <f>2.06*2.5</f>
        <v>5.15</v>
      </c>
      <c r="F59" s="93"/>
      <c r="G59" s="93"/>
      <c r="H59" s="240"/>
      <c r="I59" s="348"/>
    </row>
    <row r="60" spans="1:9" s="89" customFormat="1" ht="37.5" customHeight="1" x14ac:dyDescent="0.25">
      <c r="A60" s="90">
        <v>6</v>
      </c>
      <c r="B60" s="132" t="s">
        <v>182</v>
      </c>
      <c r="C60" s="64" t="s">
        <v>106</v>
      </c>
      <c r="D60" s="96" t="s">
        <v>183</v>
      </c>
      <c r="E60" s="241">
        <f>C22-E54</f>
        <v>21.020000000000003</v>
      </c>
      <c r="F60" s="93"/>
      <c r="G60" s="93"/>
      <c r="H60" s="240"/>
      <c r="I60" s="348"/>
    </row>
    <row r="61" spans="1:9" s="89" customFormat="1" ht="25.5" customHeight="1" x14ac:dyDescent="0.25">
      <c r="A61" s="21" t="s">
        <v>48</v>
      </c>
      <c r="B61" s="84" t="s">
        <v>49</v>
      </c>
      <c r="C61" s="85"/>
      <c r="D61" s="85"/>
      <c r="E61" s="92"/>
      <c r="F61" s="85"/>
      <c r="G61" s="85"/>
      <c r="H61" s="157">
        <f>SUM(H62:H62)</f>
        <v>0</v>
      </c>
      <c r="I61" s="95"/>
    </row>
    <row r="62" spans="1:9" s="89" customFormat="1" ht="69" customHeight="1" x14ac:dyDescent="0.25">
      <c r="A62" s="90">
        <v>1</v>
      </c>
      <c r="B62" s="91" t="s">
        <v>135</v>
      </c>
      <c r="C62" s="93" t="s">
        <v>93</v>
      </c>
      <c r="D62" s="90" t="s">
        <v>184</v>
      </c>
      <c r="E62" s="92">
        <v>1</v>
      </c>
      <c r="F62" s="97"/>
      <c r="G62" s="98"/>
      <c r="H62" s="184"/>
      <c r="I62" s="156" t="s">
        <v>110</v>
      </c>
    </row>
    <row r="63" spans="1:9" s="102" customFormat="1" ht="31.5" customHeight="1" x14ac:dyDescent="0.25">
      <c r="A63" s="126"/>
      <c r="B63" s="100" t="s">
        <v>50</v>
      </c>
      <c r="C63" s="100"/>
      <c r="D63" s="100"/>
      <c r="E63" s="100"/>
      <c r="F63" s="100"/>
      <c r="G63" s="100"/>
      <c r="H63" s="158">
        <f>H49+H61</f>
        <v>0</v>
      </c>
      <c r="I63" s="101"/>
    </row>
    <row r="64" spans="1:9" ht="22.5" customHeight="1" x14ac:dyDescent="0.25">
      <c r="A64" s="127">
        <v>4</v>
      </c>
      <c r="B64" s="337" t="s">
        <v>51</v>
      </c>
      <c r="C64" s="337"/>
      <c r="D64" s="337"/>
      <c r="E64" s="337"/>
      <c r="F64" s="337"/>
      <c r="G64" s="337"/>
      <c r="H64" s="51"/>
      <c r="I64" s="51"/>
    </row>
    <row r="65" spans="1:12" s="104" customFormat="1" ht="49.5" x14ac:dyDescent="0.25">
      <c r="A65" s="103" t="s">
        <v>25</v>
      </c>
      <c r="B65" s="338" t="s">
        <v>52</v>
      </c>
      <c r="C65" s="339"/>
      <c r="D65" s="21" t="s">
        <v>29</v>
      </c>
      <c r="E65" s="21" t="s">
        <v>53</v>
      </c>
      <c r="F65" s="21" t="s">
        <v>44</v>
      </c>
      <c r="G65" s="21" t="s">
        <v>54</v>
      </c>
      <c r="H65" s="21" t="s">
        <v>45</v>
      </c>
      <c r="I65" s="21" t="s">
        <v>33</v>
      </c>
    </row>
    <row r="66" spans="1:12" ht="24" customHeight="1" x14ac:dyDescent="0.25">
      <c r="A66" s="105"/>
      <c r="B66" s="340"/>
      <c r="C66" s="341"/>
      <c r="D66" s="106"/>
      <c r="E66" s="105"/>
      <c r="F66" s="107"/>
      <c r="G66" s="108"/>
      <c r="H66" s="108"/>
      <c r="I66" s="109"/>
      <c r="L66" s="110"/>
    </row>
    <row r="67" spans="1:12" s="112" customFormat="1" ht="27.75" customHeight="1" x14ac:dyDescent="0.25">
      <c r="A67" s="126"/>
      <c r="B67" s="342" t="s">
        <v>34</v>
      </c>
      <c r="C67" s="343"/>
      <c r="D67" s="100"/>
      <c r="E67" s="100"/>
      <c r="F67" s="100"/>
      <c r="G67" s="100"/>
      <c r="H67" s="163">
        <f>SUM(H66)</f>
        <v>0</v>
      </c>
      <c r="I67" s="111"/>
      <c r="L67" s="113"/>
    </row>
    <row r="68" spans="1:12" s="115" customFormat="1" ht="27.75" customHeight="1" x14ac:dyDescent="0.25">
      <c r="A68" s="128">
        <v>5</v>
      </c>
      <c r="B68" s="344" t="s">
        <v>56</v>
      </c>
      <c r="C68" s="344"/>
      <c r="D68" s="344"/>
      <c r="E68" s="344"/>
      <c r="F68" s="344"/>
      <c r="G68" s="345"/>
      <c r="H68" s="164">
        <f>H67+H63+H40+H34</f>
        <v>0</v>
      </c>
      <c r="I68" s="114" t="s">
        <v>57</v>
      </c>
    </row>
    <row r="69" spans="1:12" s="117" customFormat="1" ht="17.25" x14ac:dyDescent="0.25">
      <c r="A69" s="129"/>
      <c r="B69" s="116" t="s">
        <v>78</v>
      </c>
      <c r="C69" s="346" t="s">
        <v>91</v>
      </c>
      <c r="D69" s="346"/>
      <c r="E69" s="346"/>
      <c r="F69" s="346"/>
      <c r="G69" s="346"/>
      <c r="H69" s="346"/>
      <c r="I69" s="346"/>
    </row>
    <row r="70" spans="1:12" s="41" customFormat="1" ht="17.25" hidden="1" x14ac:dyDescent="0.3">
      <c r="A70" s="39"/>
      <c r="B70" s="118"/>
      <c r="E70" s="119"/>
      <c r="F70" s="316" t="s">
        <v>75</v>
      </c>
      <c r="G70" s="316"/>
      <c r="H70" s="316"/>
      <c r="I70" s="316"/>
    </row>
    <row r="71" spans="1:12" hidden="1" x14ac:dyDescent="0.25">
      <c r="F71" s="316" t="s">
        <v>76</v>
      </c>
      <c r="G71" s="316"/>
      <c r="H71" s="316"/>
      <c r="I71" s="316"/>
    </row>
    <row r="72" spans="1:12" hidden="1" x14ac:dyDescent="0.25">
      <c r="F72" s="317"/>
      <c r="G72" s="317"/>
      <c r="H72" s="317"/>
      <c r="I72" s="317"/>
    </row>
    <row r="73" spans="1:12" hidden="1" x14ac:dyDescent="0.25"/>
    <row r="74" spans="1:12" hidden="1" x14ac:dyDescent="0.25"/>
    <row r="75" spans="1:12" hidden="1" x14ac:dyDescent="0.25"/>
    <row r="76" spans="1:12" hidden="1" x14ac:dyDescent="0.25"/>
    <row r="77" spans="1:12" hidden="1" x14ac:dyDescent="0.25"/>
    <row r="78" spans="1:12" hidden="1" x14ac:dyDescent="0.25">
      <c r="F78" s="318" t="s">
        <v>77</v>
      </c>
      <c r="G78" s="318"/>
      <c r="H78" s="318"/>
      <c r="I78" s="318"/>
    </row>
    <row r="79" spans="1:12" ht="63" customHeight="1" x14ac:dyDescent="0.25">
      <c r="A79" s="319" t="s">
        <v>100</v>
      </c>
      <c r="B79" s="319"/>
      <c r="C79" s="319"/>
      <c r="D79" s="319"/>
      <c r="E79" s="319"/>
      <c r="F79" s="319"/>
      <c r="G79" s="319"/>
      <c r="H79" s="319"/>
      <c r="I79" s="319"/>
    </row>
    <row r="80" spans="1:12" x14ac:dyDescent="0.25">
      <c r="A80" s="315" t="s">
        <v>102</v>
      </c>
      <c r="B80" s="315"/>
      <c r="C80" s="315"/>
      <c r="D80" s="315"/>
      <c r="E80" s="315"/>
      <c r="F80" s="315"/>
      <c r="G80" s="315"/>
      <c r="H80" s="315"/>
      <c r="I80" s="315"/>
    </row>
    <row r="81" spans="1:9" x14ac:dyDescent="0.25">
      <c r="A81" s="320" t="s">
        <v>107</v>
      </c>
      <c r="B81" s="320"/>
      <c r="C81" s="320"/>
      <c r="D81" s="321"/>
      <c r="E81" s="322" t="s">
        <v>108</v>
      </c>
      <c r="F81" s="323"/>
      <c r="G81" s="323"/>
      <c r="H81" s="323"/>
      <c r="I81" s="323"/>
    </row>
    <row r="82" spans="1:9" x14ac:dyDescent="0.25">
      <c r="A82" s="320"/>
      <c r="B82" s="320"/>
      <c r="C82" s="320"/>
      <c r="D82" s="321"/>
      <c r="E82" s="322"/>
      <c r="F82" s="323"/>
      <c r="G82" s="323"/>
      <c r="H82" s="323"/>
      <c r="I82" s="323"/>
    </row>
    <row r="83" spans="1:9" x14ac:dyDescent="0.25">
      <c r="A83" s="320"/>
      <c r="B83" s="320"/>
      <c r="C83" s="320"/>
      <c r="D83" s="321"/>
      <c r="E83" s="38"/>
      <c r="I83" s="20"/>
    </row>
    <row r="84" spans="1:9" x14ac:dyDescent="0.25">
      <c r="A84" s="315" t="s">
        <v>101</v>
      </c>
      <c r="B84" s="315"/>
      <c r="C84" s="315"/>
      <c r="D84" s="315"/>
      <c r="E84" s="315"/>
      <c r="F84" s="315"/>
      <c r="G84" s="315"/>
      <c r="H84" s="315"/>
      <c r="I84" s="315"/>
    </row>
  </sheetData>
  <mergeCells count="59">
    <mergeCell ref="A5:I5"/>
    <mergeCell ref="A6:I6"/>
    <mergeCell ref="A7:I7"/>
    <mergeCell ref="B8:I8"/>
    <mergeCell ref="B9:E9"/>
    <mergeCell ref="F9:I9"/>
    <mergeCell ref="A1:D1"/>
    <mergeCell ref="E1:I1"/>
    <mergeCell ref="A2:D2"/>
    <mergeCell ref="E2:I2"/>
    <mergeCell ref="E4:I4"/>
    <mergeCell ref="A4:D4"/>
    <mergeCell ref="C10:I10"/>
    <mergeCell ref="C11:I11"/>
    <mergeCell ref="C12:E12"/>
    <mergeCell ref="C25:I25"/>
    <mergeCell ref="C14:I14"/>
    <mergeCell ref="C15:I15"/>
    <mergeCell ref="F13:I13"/>
    <mergeCell ref="B29:I29"/>
    <mergeCell ref="C16:E16"/>
    <mergeCell ref="B17:I17"/>
    <mergeCell ref="D19:E19"/>
    <mergeCell ref="C24:I24"/>
    <mergeCell ref="B26:F26"/>
    <mergeCell ref="B27:G27"/>
    <mergeCell ref="B28:I28"/>
    <mergeCell ref="B40:C40"/>
    <mergeCell ref="A30:A31"/>
    <mergeCell ref="B30:I30"/>
    <mergeCell ref="B31:C31"/>
    <mergeCell ref="B32:C32"/>
    <mergeCell ref="B33:C33"/>
    <mergeCell ref="B34:C34"/>
    <mergeCell ref="B38:C38"/>
    <mergeCell ref="B39:C39"/>
    <mergeCell ref="B36:I36"/>
    <mergeCell ref="B37:C37"/>
    <mergeCell ref="F70:I70"/>
    <mergeCell ref="A42:A44"/>
    <mergeCell ref="B42:G42"/>
    <mergeCell ref="B43:G43"/>
    <mergeCell ref="B44:G44"/>
    <mergeCell ref="B46:G46"/>
    <mergeCell ref="B64:G64"/>
    <mergeCell ref="B65:C65"/>
    <mergeCell ref="B66:C66"/>
    <mergeCell ref="B67:C67"/>
    <mergeCell ref="B68:G68"/>
    <mergeCell ref="C69:I69"/>
    <mergeCell ref="I50:I60"/>
    <mergeCell ref="A84:I84"/>
    <mergeCell ref="F71:I71"/>
    <mergeCell ref="F72:I72"/>
    <mergeCell ref="F78:I78"/>
    <mergeCell ref="A79:I79"/>
    <mergeCell ref="A80:I80"/>
    <mergeCell ref="A81:D83"/>
    <mergeCell ref="E81:I82"/>
  </mergeCells>
  <printOptions horizontalCentered="1"/>
  <pageMargins left="0.11811023622047245" right="0.11811023622047245" top="0.19685039370078741" bottom="0.11811023622047245" header="0.19685039370078741" footer="0.11811023622047245"/>
  <pageSetup paperSize="9" scale="80" orientation="portrait"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82"/>
  <sheetViews>
    <sheetView topLeftCell="A28" workbookViewId="0">
      <selection activeCell="B37" sqref="B37:C37"/>
    </sheetView>
  </sheetViews>
  <sheetFormatPr defaultColWidth="9.140625" defaultRowHeight="16.5" x14ac:dyDescent="0.25"/>
  <cols>
    <col min="1" max="1" width="4.28515625" style="68" customWidth="1"/>
    <col min="2" max="2" width="27.42578125" style="20" customWidth="1"/>
    <col min="3" max="3" width="9.140625" style="20" customWidth="1"/>
    <col min="4" max="4" width="24.140625" style="20" customWidth="1"/>
    <col min="5" max="5" width="9.7109375" style="23" customWidth="1"/>
    <col min="6" max="6" width="10.7109375" style="20" customWidth="1"/>
    <col min="7" max="7" width="9.42578125" style="20" customWidth="1"/>
    <col min="8" max="8" width="13.42578125" style="20" customWidth="1"/>
    <col min="9" max="9" width="16" style="120" customWidth="1"/>
    <col min="10" max="10" width="17" style="20" customWidth="1"/>
    <col min="11" max="11" width="9.140625" style="20" customWidth="1"/>
    <col min="12" max="12" width="11.42578125" style="20" customWidth="1"/>
    <col min="13" max="19" width="9.140625" style="20" customWidth="1"/>
    <col min="20" max="16384" width="9.140625" style="20"/>
  </cols>
  <sheetData>
    <row r="1" spans="1:17" s="36" customFormat="1" x14ac:dyDescent="0.25">
      <c r="A1" s="368" t="s">
        <v>98</v>
      </c>
      <c r="B1" s="368"/>
      <c r="C1" s="368"/>
      <c r="D1" s="368"/>
      <c r="E1" s="368" t="s">
        <v>0</v>
      </c>
      <c r="F1" s="368"/>
      <c r="G1" s="368"/>
      <c r="H1" s="368"/>
      <c r="I1" s="368"/>
    </row>
    <row r="2" spans="1:17" s="36" customFormat="1" x14ac:dyDescent="0.25">
      <c r="A2" s="369" t="s">
        <v>99</v>
      </c>
      <c r="B2" s="369"/>
      <c r="C2" s="369"/>
      <c r="D2" s="369"/>
      <c r="E2" s="369" t="s">
        <v>1</v>
      </c>
      <c r="F2" s="368"/>
      <c r="G2" s="368"/>
      <c r="H2" s="368"/>
      <c r="I2" s="368"/>
    </row>
    <row r="3" spans="1:17" s="36" customFormat="1" ht="15.75" customHeight="1" x14ac:dyDescent="0.25">
      <c r="A3" s="39"/>
      <c r="C3" s="39"/>
      <c r="D3" s="39"/>
      <c r="E3" s="39"/>
      <c r="F3" s="39"/>
      <c r="G3" s="39"/>
      <c r="H3" s="39"/>
      <c r="I3" s="37"/>
    </row>
    <row r="4" spans="1:17" s="36" customFormat="1" x14ac:dyDescent="0.25">
      <c r="A4" s="369" t="s">
        <v>89</v>
      </c>
      <c r="B4" s="369"/>
      <c r="C4" s="369"/>
      <c r="D4" s="369"/>
      <c r="E4" s="370" t="s">
        <v>185</v>
      </c>
      <c r="F4" s="370"/>
      <c r="G4" s="370"/>
      <c r="H4" s="370"/>
      <c r="I4" s="370"/>
    </row>
    <row r="5" spans="1:17" s="40" customFormat="1" ht="18.75" customHeight="1" x14ac:dyDescent="0.25">
      <c r="A5" s="371" t="s">
        <v>85</v>
      </c>
      <c r="B5" s="371"/>
      <c r="C5" s="371"/>
      <c r="D5" s="371"/>
      <c r="E5" s="371"/>
      <c r="F5" s="371"/>
      <c r="G5" s="371"/>
      <c r="H5" s="371"/>
      <c r="I5" s="371"/>
    </row>
    <row r="6" spans="1:17" s="40" customFormat="1" ht="37.5" customHeight="1" x14ac:dyDescent="0.25">
      <c r="A6" s="372" t="s">
        <v>86</v>
      </c>
      <c r="B6" s="372"/>
      <c r="C6" s="372"/>
      <c r="D6" s="372"/>
      <c r="E6" s="372"/>
      <c r="F6" s="372"/>
      <c r="G6" s="372"/>
      <c r="H6" s="372"/>
      <c r="I6" s="372"/>
      <c r="Q6" s="41"/>
    </row>
    <row r="7" spans="1:17" s="40" customFormat="1" ht="39.75" customHeight="1" x14ac:dyDescent="0.25">
      <c r="A7" s="373" t="s">
        <v>166</v>
      </c>
      <c r="B7" s="373"/>
      <c r="C7" s="373"/>
      <c r="D7" s="373"/>
      <c r="E7" s="373"/>
      <c r="F7" s="373"/>
      <c r="G7" s="373"/>
      <c r="H7" s="373"/>
      <c r="I7" s="373"/>
    </row>
    <row r="8" spans="1:17" s="42" customFormat="1" ht="26.25" customHeight="1" x14ac:dyDescent="0.25">
      <c r="A8" s="121" t="s">
        <v>2</v>
      </c>
      <c r="B8" s="362" t="s">
        <v>3</v>
      </c>
      <c r="C8" s="362"/>
      <c r="D8" s="362"/>
      <c r="E8" s="362"/>
      <c r="F8" s="362"/>
      <c r="G8" s="362"/>
      <c r="H8" s="362"/>
      <c r="I8" s="362"/>
    </row>
    <row r="9" spans="1:17" s="42" customFormat="1" ht="21.75" customHeight="1" x14ac:dyDescent="0.25">
      <c r="A9" s="121" t="s">
        <v>4</v>
      </c>
      <c r="B9" s="374" t="s">
        <v>5</v>
      </c>
      <c r="C9" s="374"/>
      <c r="D9" s="374"/>
      <c r="E9" s="374"/>
      <c r="F9" s="375" t="s">
        <v>186</v>
      </c>
      <c r="G9" s="375"/>
      <c r="H9" s="375"/>
      <c r="I9" s="375"/>
    </row>
    <row r="10" spans="1:17" s="42" customFormat="1" ht="21.75" customHeight="1" x14ac:dyDescent="0.25">
      <c r="A10" s="122"/>
      <c r="B10" s="24" t="s">
        <v>6</v>
      </c>
      <c r="C10" s="365" t="s">
        <v>187</v>
      </c>
      <c r="D10" s="365"/>
      <c r="E10" s="365"/>
      <c r="F10" s="365"/>
      <c r="G10" s="365"/>
      <c r="H10" s="365"/>
      <c r="I10" s="365"/>
    </row>
    <row r="11" spans="1:17" s="42" customFormat="1" ht="21.75" customHeight="1" x14ac:dyDescent="0.25">
      <c r="A11" s="122"/>
      <c r="B11" s="24" t="s">
        <v>7</v>
      </c>
      <c r="C11" s="365" t="s">
        <v>146</v>
      </c>
      <c r="D11" s="365"/>
      <c r="E11" s="365"/>
      <c r="F11" s="365"/>
      <c r="G11" s="365"/>
      <c r="H11" s="365"/>
      <c r="I11" s="365"/>
    </row>
    <row r="12" spans="1:17" s="42" customFormat="1" ht="21.75" customHeight="1" x14ac:dyDescent="0.25">
      <c r="A12" s="122"/>
      <c r="B12" s="24" t="s">
        <v>11</v>
      </c>
      <c r="C12" s="233" t="s">
        <v>188</v>
      </c>
      <c r="D12" s="233"/>
      <c r="E12" s="233"/>
      <c r="F12" s="43"/>
      <c r="G12" s="43"/>
      <c r="H12" s="43"/>
      <c r="I12" s="43"/>
    </row>
    <row r="13" spans="1:17" s="42" customFormat="1" ht="21.75" customHeight="1" x14ac:dyDescent="0.25">
      <c r="A13" s="121" t="s">
        <v>9</v>
      </c>
      <c r="B13" s="44" t="s">
        <v>10</v>
      </c>
      <c r="E13" s="43"/>
      <c r="F13" s="362" t="str">
        <f>F9</f>
        <v>Trần Cao Giới</v>
      </c>
      <c r="G13" s="362"/>
      <c r="H13" s="362"/>
      <c r="I13" s="362"/>
      <c r="J13" s="146"/>
    </row>
    <row r="14" spans="1:17" s="42" customFormat="1" ht="21.75" customHeight="1" x14ac:dyDescent="0.25">
      <c r="A14" s="122"/>
      <c r="B14" s="24" t="s">
        <v>6</v>
      </c>
      <c r="C14" s="365" t="str">
        <f>+C10</f>
        <v>Thôn Phố Gốt- Xã Phú Nghĩa - TP Hà Nội</v>
      </c>
      <c r="D14" s="365"/>
      <c r="E14" s="365"/>
      <c r="F14" s="365"/>
      <c r="G14" s="365"/>
      <c r="H14" s="365"/>
      <c r="I14" s="365"/>
    </row>
    <row r="15" spans="1:17" s="42" customFormat="1" ht="21.75" customHeight="1" x14ac:dyDescent="0.25">
      <c r="A15" s="122"/>
      <c r="B15" s="24" t="s">
        <v>7</v>
      </c>
      <c r="C15" s="365" t="str">
        <f>C11</f>
        <v>Thôn Phố Gốt - xã Phú Nghĩa - TP Hà Nội</v>
      </c>
      <c r="D15" s="365"/>
      <c r="E15" s="365"/>
      <c r="F15" s="365"/>
      <c r="G15" s="365"/>
      <c r="H15" s="365"/>
      <c r="I15" s="365"/>
    </row>
    <row r="16" spans="1:17" s="42" customFormat="1" ht="21.75" customHeight="1" x14ac:dyDescent="0.25">
      <c r="A16" s="122"/>
      <c r="B16" s="24" t="s">
        <v>11</v>
      </c>
      <c r="C16" s="233" t="str">
        <f>+C12</f>
        <v>001062025102</v>
      </c>
      <c r="D16" s="233"/>
      <c r="E16" s="233"/>
      <c r="F16" s="43"/>
      <c r="G16" s="43"/>
      <c r="H16" s="43"/>
      <c r="I16" s="43"/>
    </row>
    <row r="17" spans="1:19" s="42" customFormat="1" ht="19.899999999999999" customHeight="1" x14ac:dyDescent="0.25">
      <c r="A17" s="121" t="s">
        <v>12</v>
      </c>
      <c r="B17" s="362" t="s">
        <v>13</v>
      </c>
      <c r="C17" s="362"/>
      <c r="D17" s="362"/>
      <c r="E17" s="362"/>
      <c r="F17" s="362"/>
      <c r="G17" s="362"/>
      <c r="H17" s="362"/>
      <c r="I17" s="362"/>
    </row>
    <row r="18" spans="1:19" s="42" customFormat="1" ht="19.899999999999999" customHeight="1" x14ac:dyDescent="0.25">
      <c r="A18" s="121" t="s">
        <v>4</v>
      </c>
      <c r="B18" s="46" t="s">
        <v>14</v>
      </c>
      <c r="E18" s="43"/>
    </row>
    <row r="19" spans="1:19" s="51" customFormat="1" ht="19.899999999999999" customHeight="1" x14ac:dyDescent="0.25">
      <c r="A19" s="123"/>
      <c r="B19" s="47" t="s">
        <v>15</v>
      </c>
      <c r="C19" s="48">
        <v>43</v>
      </c>
      <c r="D19" s="363" t="s">
        <v>16</v>
      </c>
      <c r="E19" s="363"/>
      <c r="F19" s="49" t="s">
        <v>128</v>
      </c>
      <c r="G19" s="50"/>
      <c r="I19" s="50"/>
    </row>
    <row r="20" spans="1:19" s="51" customFormat="1" ht="19.899999999999999" customHeight="1" x14ac:dyDescent="0.25">
      <c r="A20" s="123"/>
      <c r="B20" s="47" t="s">
        <v>17</v>
      </c>
      <c r="C20" s="52">
        <v>55.5</v>
      </c>
      <c r="D20" s="50" t="s">
        <v>105</v>
      </c>
      <c r="E20" s="53"/>
      <c r="F20" s="54"/>
      <c r="H20" s="55"/>
      <c r="I20" s="50"/>
    </row>
    <row r="21" spans="1:19" s="51" customFormat="1" ht="19.899999999999999" customHeight="1" x14ac:dyDescent="0.25">
      <c r="A21" s="123"/>
      <c r="B21" s="56" t="s">
        <v>18</v>
      </c>
      <c r="C21" s="57"/>
      <c r="D21" s="50"/>
      <c r="E21" s="53"/>
      <c r="F21" s="50"/>
      <c r="H21" s="55"/>
      <c r="I21" s="50"/>
      <c r="J21" s="133"/>
    </row>
    <row r="22" spans="1:19" s="51" customFormat="1" ht="19.899999999999999" customHeight="1" x14ac:dyDescent="0.25">
      <c r="A22" s="123"/>
      <c r="B22" s="47" t="s">
        <v>19</v>
      </c>
      <c r="C22" s="52">
        <v>46.1</v>
      </c>
      <c r="D22" s="50" t="s">
        <v>105</v>
      </c>
      <c r="E22" s="53"/>
      <c r="F22" s="50"/>
      <c r="H22" s="55"/>
      <c r="I22" s="50"/>
      <c r="J22" s="133"/>
    </row>
    <row r="23" spans="1:19" s="51" customFormat="1" ht="19.899999999999999" customHeight="1" x14ac:dyDescent="0.25">
      <c r="A23" s="123"/>
      <c r="B23" s="47" t="s">
        <v>20</v>
      </c>
      <c r="C23" s="57">
        <f>C20-C22</f>
        <v>9.3999999999999986</v>
      </c>
      <c r="D23" s="50" t="s">
        <v>105</v>
      </c>
      <c r="E23" s="53"/>
      <c r="F23" s="50"/>
      <c r="H23" s="55"/>
      <c r="I23" s="50"/>
      <c r="J23" s="133"/>
    </row>
    <row r="24" spans="1:19" s="42" customFormat="1" ht="19.899999999999999" customHeight="1" x14ac:dyDescent="0.25">
      <c r="A24" s="122"/>
      <c r="B24" s="24" t="s">
        <v>21</v>
      </c>
      <c r="C24" s="362" t="s">
        <v>189</v>
      </c>
      <c r="D24" s="362"/>
      <c r="E24" s="362"/>
      <c r="F24" s="362"/>
      <c r="G24" s="362"/>
      <c r="H24" s="362"/>
      <c r="I24" s="362"/>
      <c r="J24" s="142"/>
    </row>
    <row r="25" spans="1:19" s="36" customFormat="1" ht="260.25" customHeight="1" x14ac:dyDescent="0.25">
      <c r="A25" s="39" t="s">
        <v>23</v>
      </c>
      <c r="B25" s="58" t="s">
        <v>73</v>
      </c>
      <c r="C25" s="366" t="s">
        <v>564</v>
      </c>
      <c r="D25" s="367"/>
      <c r="E25" s="367"/>
      <c r="F25" s="367"/>
      <c r="G25" s="367"/>
      <c r="H25" s="367"/>
      <c r="I25" s="367"/>
      <c r="J25" s="133"/>
      <c r="K25" s="134"/>
      <c r="L25" s="59"/>
      <c r="M25" s="59"/>
      <c r="N25" s="59"/>
      <c r="O25" s="59"/>
      <c r="P25" s="59"/>
      <c r="Q25" s="59"/>
      <c r="R25" s="59"/>
      <c r="S25" s="59"/>
    </row>
    <row r="26" spans="1:19" s="36" customFormat="1" ht="19.899999999999999" customHeight="1" x14ac:dyDescent="0.25">
      <c r="A26" s="39" t="s">
        <v>81</v>
      </c>
      <c r="B26" s="364" t="s">
        <v>82</v>
      </c>
      <c r="C26" s="364"/>
      <c r="D26" s="364"/>
      <c r="E26" s="364"/>
      <c r="F26" s="364"/>
      <c r="G26" s="60"/>
      <c r="H26" s="149" t="s">
        <v>112</v>
      </c>
      <c r="I26" s="60" t="s">
        <v>55</v>
      </c>
      <c r="J26" s="142"/>
      <c r="K26" s="142"/>
      <c r="L26" s="59"/>
      <c r="M26" s="59"/>
      <c r="N26" s="59"/>
      <c r="O26" s="59"/>
      <c r="P26" s="59"/>
      <c r="Q26" s="59"/>
      <c r="R26" s="59"/>
      <c r="S26" s="59"/>
    </row>
    <row r="27" spans="1:19" s="36" customFormat="1" ht="19.899999999999999" customHeight="1" x14ac:dyDescent="0.25">
      <c r="A27" s="39" t="s">
        <v>83</v>
      </c>
      <c r="B27" s="364" t="s">
        <v>65</v>
      </c>
      <c r="C27" s="364"/>
      <c r="D27" s="364"/>
      <c r="E27" s="364"/>
      <c r="F27" s="364"/>
      <c r="G27" s="364"/>
      <c r="H27" s="148" t="s">
        <v>119</v>
      </c>
      <c r="I27" s="60" t="s">
        <v>84</v>
      </c>
      <c r="J27" s="59"/>
      <c r="K27" s="59"/>
      <c r="L27" s="59"/>
      <c r="M27" s="59"/>
      <c r="N27" s="59"/>
      <c r="O27" s="59"/>
      <c r="P27" s="59"/>
      <c r="Q27" s="59"/>
      <c r="R27" s="59"/>
      <c r="S27" s="59"/>
    </row>
    <row r="28" spans="1:19" s="41" customFormat="1" x14ac:dyDescent="0.25">
      <c r="A28" s="39" t="s">
        <v>88</v>
      </c>
      <c r="B28" s="364" t="s">
        <v>87</v>
      </c>
      <c r="C28" s="364"/>
      <c r="D28" s="364"/>
      <c r="E28" s="364"/>
      <c r="F28" s="364"/>
      <c r="G28" s="364"/>
      <c r="H28" s="364"/>
      <c r="I28" s="364"/>
    </row>
    <row r="29" spans="1:19" s="40" customFormat="1" x14ac:dyDescent="0.25">
      <c r="A29" s="39" t="s">
        <v>4</v>
      </c>
      <c r="B29" s="360" t="s">
        <v>24</v>
      </c>
      <c r="C29" s="360"/>
      <c r="D29" s="360"/>
      <c r="E29" s="360"/>
      <c r="F29" s="360"/>
      <c r="G29" s="360"/>
      <c r="H29" s="360"/>
      <c r="I29" s="360"/>
      <c r="J29" s="41"/>
      <c r="K29" s="41"/>
      <c r="L29" s="41"/>
      <c r="M29" s="41"/>
      <c r="N29" s="41"/>
      <c r="O29" s="41"/>
      <c r="P29" s="41"/>
      <c r="Q29" s="41"/>
      <c r="R29" s="41"/>
      <c r="S29" s="41"/>
    </row>
    <row r="30" spans="1:19" s="24" customFormat="1" ht="32.25" customHeight="1" x14ac:dyDescent="0.25">
      <c r="A30" s="351" t="s">
        <v>25</v>
      </c>
      <c r="B30" s="353" t="s">
        <v>26</v>
      </c>
      <c r="C30" s="354"/>
      <c r="D30" s="354"/>
      <c r="E30" s="354"/>
      <c r="F30" s="354"/>
      <c r="G30" s="354"/>
      <c r="H30" s="354"/>
      <c r="I30" s="355"/>
    </row>
    <row r="31" spans="1:19" s="25" customFormat="1" ht="49.5" x14ac:dyDescent="0.25">
      <c r="A31" s="352"/>
      <c r="B31" s="353" t="s">
        <v>27</v>
      </c>
      <c r="C31" s="355"/>
      <c r="D31" s="21" t="s">
        <v>28</v>
      </c>
      <c r="E31" s="22" t="s">
        <v>29</v>
      </c>
      <c r="F31" s="22" t="s">
        <v>30</v>
      </c>
      <c r="G31" s="21" t="s">
        <v>31</v>
      </c>
      <c r="H31" s="22" t="s">
        <v>104</v>
      </c>
      <c r="I31" s="22" t="s">
        <v>33</v>
      </c>
    </row>
    <row r="32" spans="1:19" s="62" customFormat="1" ht="18.75" customHeight="1" x14ac:dyDescent="0.25">
      <c r="A32" s="61">
        <v>1</v>
      </c>
      <c r="B32" s="356">
        <v>2</v>
      </c>
      <c r="C32" s="357"/>
      <c r="D32" s="61">
        <v>3</v>
      </c>
      <c r="E32" s="61">
        <v>4</v>
      </c>
      <c r="F32" s="61">
        <v>5</v>
      </c>
      <c r="G32" s="61">
        <v>6</v>
      </c>
      <c r="H32" s="61">
        <v>7</v>
      </c>
      <c r="I32" s="61">
        <v>8</v>
      </c>
    </row>
    <row r="33" spans="1:9" s="68" customFormat="1" ht="39" customHeight="1" x14ac:dyDescent="0.25">
      <c r="A33" s="63">
        <v>1</v>
      </c>
      <c r="B33" s="358" t="s">
        <v>565</v>
      </c>
      <c r="C33" s="359"/>
      <c r="D33" s="64" t="s">
        <v>106</v>
      </c>
      <c r="E33" s="65">
        <f>C22</f>
        <v>46.1</v>
      </c>
      <c r="F33" s="63"/>
      <c r="G33" s="66"/>
      <c r="H33" s="166">
        <f>E33*F33*G33</f>
        <v>0</v>
      </c>
      <c r="I33" s="67"/>
    </row>
    <row r="34" spans="1:9" s="71" customFormat="1" ht="30.75" customHeight="1" x14ac:dyDescent="0.25">
      <c r="A34" s="69"/>
      <c r="B34" s="349" t="s">
        <v>34</v>
      </c>
      <c r="C34" s="350"/>
      <c r="D34" s="69"/>
      <c r="E34" s="69"/>
      <c r="F34" s="69"/>
      <c r="G34" s="69"/>
      <c r="H34" s="169">
        <f>SUM(H33:H33)</f>
        <v>0</v>
      </c>
      <c r="I34" s="69"/>
    </row>
    <row r="35" spans="1:9" ht="15" customHeight="1" x14ac:dyDescent="0.25">
      <c r="A35" s="77"/>
      <c r="B35" s="72"/>
      <c r="C35" s="72"/>
      <c r="D35" s="73"/>
      <c r="E35" s="73"/>
      <c r="F35" s="73"/>
      <c r="G35" s="73"/>
      <c r="H35" s="73"/>
      <c r="I35" s="73"/>
    </row>
    <row r="36" spans="1:9" ht="16.5" customHeight="1" x14ac:dyDescent="0.25">
      <c r="A36" s="75" t="s">
        <v>9</v>
      </c>
      <c r="B36" s="360" t="s">
        <v>35</v>
      </c>
      <c r="C36" s="360"/>
      <c r="D36" s="360"/>
      <c r="E36" s="360"/>
      <c r="F36" s="360"/>
      <c r="G36" s="360"/>
      <c r="H36" s="360"/>
      <c r="I36" s="360"/>
    </row>
    <row r="37" spans="1:9" s="23" customFormat="1" ht="49.5" x14ac:dyDescent="0.25">
      <c r="A37" s="29" t="s">
        <v>25</v>
      </c>
      <c r="B37" s="353" t="s">
        <v>27</v>
      </c>
      <c r="C37" s="355"/>
      <c r="D37" s="21" t="s">
        <v>28</v>
      </c>
      <c r="E37" s="22" t="s">
        <v>29</v>
      </c>
      <c r="F37" s="22" t="s">
        <v>30</v>
      </c>
      <c r="G37" s="21" t="s">
        <v>31</v>
      </c>
      <c r="H37" s="22" t="s">
        <v>32</v>
      </c>
      <c r="I37" s="22" t="s">
        <v>33</v>
      </c>
    </row>
    <row r="38" spans="1:9" s="62" customFormat="1" ht="18" customHeight="1" x14ac:dyDescent="0.25">
      <c r="A38" s="61">
        <v>1</v>
      </c>
      <c r="B38" s="356">
        <v>2</v>
      </c>
      <c r="C38" s="357"/>
      <c r="D38" s="61">
        <v>3</v>
      </c>
      <c r="E38" s="61">
        <v>4</v>
      </c>
      <c r="F38" s="61">
        <v>5</v>
      </c>
      <c r="G38" s="61">
        <v>6</v>
      </c>
      <c r="H38" s="61">
        <v>7</v>
      </c>
      <c r="I38" s="61">
        <v>8</v>
      </c>
    </row>
    <row r="39" spans="1:9" ht="37.5" customHeight="1" x14ac:dyDescent="0.25">
      <c r="A39" s="26">
        <v>1</v>
      </c>
      <c r="B39" s="353"/>
      <c r="C39" s="355"/>
      <c r="D39" s="27"/>
      <c r="E39" s="22"/>
      <c r="F39" s="27"/>
      <c r="G39" s="27"/>
      <c r="H39" s="27"/>
      <c r="I39" s="26" t="s">
        <v>36</v>
      </c>
    </row>
    <row r="40" spans="1:9" s="71" customFormat="1" ht="25.5" customHeight="1" x14ac:dyDescent="0.25">
      <c r="A40" s="69"/>
      <c r="B40" s="349" t="s">
        <v>34</v>
      </c>
      <c r="C40" s="350"/>
      <c r="D40" s="74"/>
      <c r="E40" s="69"/>
      <c r="F40" s="74"/>
      <c r="G40" s="74"/>
      <c r="H40" s="74"/>
      <c r="I40" s="69"/>
    </row>
    <row r="41" spans="1:9" x14ac:dyDescent="0.25">
      <c r="A41" s="124"/>
      <c r="B41" s="75"/>
      <c r="C41" s="75"/>
      <c r="D41" s="76"/>
      <c r="E41" s="75"/>
      <c r="F41" s="76"/>
      <c r="G41" s="76"/>
      <c r="H41" s="76"/>
      <c r="I41" s="75"/>
    </row>
    <row r="42" spans="1:9" x14ac:dyDescent="0.25">
      <c r="A42" s="324"/>
      <c r="B42" s="327" t="s">
        <v>37</v>
      </c>
      <c r="C42" s="328"/>
      <c r="D42" s="328"/>
      <c r="E42" s="328"/>
      <c r="F42" s="328"/>
      <c r="G42" s="329"/>
      <c r="H42" s="27"/>
      <c r="I42" s="26" t="s">
        <v>74</v>
      </c>
    </row>
    <row r="43" spans="1:9" x14ac:dyDescent="0.25">
      <c r="A43" s="325"/>
      <c r="B43" s="330" t="s">
        <v>38</v>
      </c>
      <c r="C43" s="331"/>
      <c r="D43" s="331"/>
      <c r="E43" s="331"/>
      <c r="F43" s="331"/>
      <c r="G43" s="332"/>
      <c r="H43" s="27"/>
      <c r="I43" s="26" t="s">
        <v>74</v>
      </c>
    </row>
    <row r="44" spans="1:9" x14ac:dyDescent="0.25">
      <c r="A44" s="326"/>
      <c r="B44" s="333" t="s">
        <v>39</v>
      </c>
      <c r="C44" s="334"/>
      <c r="D44" s="334"/>
      <c r="E44" s="334"/>
      <c r="F44" s="334"/>
      <c r="G44" s="335"/>
      <c r="H44" s="27"/>
      <c r="I44" s="26" t="s">
        <v>74</v>
      </c>
    </row>
    <row r="45" spans="1:9" ht="8.25" customHeight="1" x14ac:dyDescent="0.25">
      <c r="A45" s="77"/>
      <c r="B45" s="72"/>
      <c r="C45" s="72"/>
      <c r="D45" s="72"/>
      <c r="E45" s="78"/>
      <c r="F45" s="72"/>
      <c r="G45" s="72"/>
      <c r="H45" s="79"/>
      <c r="I45" s="79"/>
    </row>
    <row r="46" spans="1:9" ht="26.25" customHeight="1" x14ac:dyDescent="0.25">
      <c r="A46" s="125" t="s">
        <v>22</v>
      </c>
      <c r="B46" s="376" t="s">
        <v>40</v>
      </c>
      <c r="C46" s="376"/>
      <c r="D46" s="376"/>
      <c r="E46" s="376"/>
      <c r="F46" s="376"/>
      <c r="G46" s="376"/>
      <c r="H46" s="80"/>
      <c r="I46" s="81"/>
    </row>
    <row r="47" spans="1:9" s="30" customFormat="1" ht="49.5" x14ac:dyDescent="0.25">
      <c r="A47" s="21" t="s">
        <v>25</v>
      </c>
      <c r="B47" s="21" t="s">
        <v>41</v>
      </c>
      <c r="C47" s="21" t="s">
        <v>28</v>
      </c>
      <c r="D47" s="21" t="s">
        <v>42</v>
      </c>
      <c r="E47" s="21" t="s">
        <v>43</v>
      </c>
      <c r="F47" s="21" t="s">
        <v>44</v>
      </c>
      <c r="G47" s="21" t="s">
        <v>31</v>
      </c>
      <c r="H47" s="21" t="s">
        <v>45</v>
      </c>
      <c r="I47" s="21" t="s">
        <v>33</v>
      </c>
    </row>
    <row r="48" spans="1:9" s="83" customFormat="1" ht="18" customHeight="1" x14ac:dyDescent="0.25">
      <c r="A48" s="82">
        <v>1</v>
      </c>
      <c r="B48" s="82">
        <v>2</v>
      </c>
      <c r="C48" s="82">
        <v>3</v>
      </c>
      <c r="D48" s="82">
        <v>4</v>
      </c>
      <c r="E48" s="82">
        <v>5</v>
      </c>
      <c r="F48" s="82">
        <v>6</v>
      </c>
      <c r="G48" s="82">
        <v>7</v>
      </c>
      <c r="H48" s="82">
        <v>8</v>
      </c>
      <c r="I48" s="82">
        <v>9</v>
      </c>
    </row>
    <row r="49" spans="1:9" s="89" customFormat="1" ht="30" customHeight="1" x14ac:dyDescent="0.25">
      <c r="A49" s="21" t="s">
        <v>46</v>
      </c>
      <c r="B49" s="84" t="s">
        <v>47</v>
      </c>
      <c r="C49" s="85"/>
      <c r="D49" s="85"/>
      <c r="E49" s="86"/>
      <c r="F49" s="85"/>
      <c r="G49" s="85"/>
      <c r="H49" s="157">
        <f>SUM(H50:H50)</f>
        <v>0</v>
      </c>
      <c r="I49" s="88"/>
    </row>
    <row r="50" spans="1:9" s="89" customFormat="1" ht="20.65" customHeight="1" x14ac:dyDescent="0.25">
      <c r="A50" s="90">
        <v>1</v>
      </c>
      <c r="B50" s="91" t="s">
        <v>90</v>
      </c>
      <c r="C50" s="64" t="s">
        <v>106</v>
      </c>
      <c r="D50" s="90" t="s">
        <v>190</v>
      </c>
      <c r="E50" s="92">
        <v>35.61</v>
      </c>
      <c r="F50" s="93"/>
      <c r="G50" s="93"/>
      <c r="H50" s="183"/>
      <c r="I50" s="347" t="s">
        <v>110</v>
      </c>
    </row>
    <row r="51" spans="1:9" s="89" customFormat="1" ht="31.5" customHeight="1" x14ac:dyDescent="0.25">
      <c r="A51" s="90">
        <v>2</v>
      </c>
      <c r="B51" s="91" t="s">
        <v>151</v>
      </c>
      <c r="C51" s="64" t="s">
        <v>106</v>
      </c>
      <c r="D51" s="90" t="s">
        <v>191</v>
      </c>
      <c r="E51" s="92">
        <f>0.6*4.19</f>
        <v>2.5140000000000002</v>
      </c>
      <c r="F51" s="93"/>
      <c r="G51" s="93"/>
      <c r="H51" s="183"/>
      <c r="I51" s="348"/>
    </row>
    <row r="52" spans="1:9" s="89" customFormat="1" ht="54" customHeight="1" x14ac:dyDescent="0.25">
      <c r="A52" s="90">
        <v>3</v>
      </c>
      <c r="B52" s="91" t="s">
        <v>192</v>
      </c>
      <c r="C52" s="64" t="s">
        <v>106</v>
      </c>
      <c r="D52" s="90" t="s">
        <v>193</v>
      </c>
      <c r="E52" s="92">
        <f>4.19*4</f>
        <v>16.760000000000002</v>
      </c>
      <c r="F52" s="93"/>
      <c r="G52" s="93"/>
      <c r="H52" s="183"/>
      <c r="I52" s="348"/>
    </row>
    <row r="53" spans="1:9" s="89" customFormat="1" ht="52.9" customHeight="1" x14ac:dyDescent="0.25">
      <c r="A53" s="90">
        <v>4</v>
      </c>
      <c r="B53" s="91" t="s">
        <v>194</v>
      </c>
      <c r="C53" s="64" t="s">
        <v>106</v>
      </c>
      <c r="D53" s="90"/>
      <c r="E53" s="92"/>
      <c r="F53" s="93"/>
      <c r="G53" s="93"/>
      <c r="H53" s="183"/>
      <c r="I53" s="348"/>
    </row>
    <row r="54" spans="1:9" s="89" customFormat="1" ht="52.9" customHeight="1" x14ac:dyDescent="0.25">
      <c r="A54" s="90" t="s">
        <v>152</v>
      </c>
      <c r="B54" s="91" t="s">
        <v>196</v>
      </c>
      <c r="C54" s="64" t="s">
        <v>106</v>
      </c>
      <c r="D54" s="90" t="s">
        <v>195</v>
      </c>
      <c r="E54" s="92">
        <f>9.48*4.19</f>
        <v>39.721200000000003</v>
      </c>
      <c r="F54" s="93"/>
      <c r="G54" s="93"/>
      <c r="H54" s="183"/>
      <c r="I54" s="348"/>
    </row>
    <row r="55" spans="1:9" s="89" customFormat="1" ht="38.25" customHeight="1" x14ac:dyDescent="0.25">
      <c r="A55" s="90"/>
      <c r="B55" s="132" t="s">
        <v>109</v>
      </c>
      <c r="C55" s="64" t="s">
        <v>106</v>
      </c>
      <c r="D55" s="96" t="s">
        <v>197</v>
      </c>
      <c r="E55" s="92">
        <f>C22-E52</f>
        <v>29.34</v>
      </c>
      <c r="F55" s="93"/>
      <c r="G55" s="93"/>
      <c r="H55" s="183"/>
      <c r="I55" s="348"/>
    </row>
    <row r="56" spans="1:9" s="89" customFormat="1" ht="38.25" customHeight="1" x14ac:dyDescent="0.25">
      <c r="A56" s="90"/>
      <c r="B56" s="132" t="s">
        <v>120</v>
      </c>
      <c r="C56" s="64" t="s">
        <v>106</v>
      </c>
      <c r="D56" s="96"/>
      <c r="E56" s="92">
        <f>E54-E55</f>
        <v>10.381200000000003</v>
      </c>
      <c r="F56" s="93"/>
      <c r="G56" s="93"/>
      <c r="H56" s="183"/>
      <c r="I56" s="348"/>
    </row>
    <row r="57" spans="1:9" s="89" customFormat="1" ht="38.25" customHeight="1" x14ac:dyDescent="0.25">
      <c r="A57" s="90" t="s">
        <v>131</v>
      </c>
      <c r="B57" s="132" t="s">
        <v>198</v>
      </c>
      <c r="C57" s="64" t="s">
        <v>106</v>
      </c>
      <c r="D57" s="96" t="s">
        <v>199</v>
      </c>
      <c r="E57" s="92">
        <f>2.6*4.19</f>
        <v>10.894000000000002</v>
      </c>
      <c r="F57" s="93"/>
      <c r="G57" s="93"/>
      <c r="H57" s="183"/>
      <c r="I57" s="348"/>
    </row>
    <row r="58" spans="1:9" s="89" customFormat="1" ht="40.9" customHeight="1" x14ac:dyDescent="0.25">
      <c r="A58" s="90" t="s">
        <v>153</v>
      </c>
      <c r="B58" s="132" t="s">
        <v>200</v>
      </c>
      <c r="C58" s="64" t="s">
        <v>106</v>
      </c>
      <c r="D58" s="96" t="s">
        <v>201</v>
      </c>
      <c r="E58" s="92">
        <v>46.42</v>
      </c>
      <c r="F58" s="93"/>
      <c r="G58" s="93"/>
      <c r="H58" s="183"/>
      <c r="I58" s="348"/>
    </row>
    <row r="59" spans="1:9" s="89" customFormat="1" ht="39" customHeight="1" x14ac:dyDescent="0.25">
      <c r="A59" s="90"/>
      <c r="B59" s="132" t="s">
        <v>109</v>
      </c>
      <c r="C59" s="64" t="s">
        <v>106</v>
      </c>
      <c r="D59" s="96" t="s">
        <v>202</v>
      </c>
      <c r="E59" s="92">
        <f>E55+(1.6*4.19)</f>
        <v>36.043999999999997</v>
      </c>
      <c r="F59" s="93"/>
      <c r="G59" s="93"/>
      <c r="H59" s="183"/>
      <c r="I59" s="348"/>
    </row>
    <row r="60" spans="1:9" s="89" customFormat="1" ht="39" customHeight="1" x14ac:dyDescent="0.25">
      <c r="A60" s="90"/>
      <c r="B60" s="132" t="s">
        <v>120</v>
      </c>
      <c r="C60" s="64" t="s">
        <v>106</v>
      </c>
      <c r="D60" s="132"/>
      <c r="E60" s="92">
        <f>E58-E59</f>
        <v>10.376000000000005</v>
      </c>
      <c r="F60" s="93"/>
      <c r="G60" s="93"/>
      <c r="H60" s="183"/>
      <c r="I60" s="348"/>
    </row>
    <row r="61" spans="1:9" s="89" customFormat="1" ht="52.15" customHeight="1" x14ac:dyDescent="0.25">
      <c r="A61" s="90" t="s">
        <v>157</v>
      </c>
      <c r="B61" s="132" t="s">
        <v>203</v>
      </c>
      <c r="C61" s="64" t="s">
        <v>106</v>
      </c>
      <c r="D61" s="96" t="s">
        <v>158</v>
      </c>
      <c r="E61" s="92">
        <f>E58</f>
        <v>46.42</v>
      </c>
      <c r="F61" s="93"/>
      <c r="G61" s="93"/>
      <c r="H61" s="183"/>
      <c r="I61" s="348"/>
    </row>
    <row r="62" spans="1:9" s="89" customFormat="1" ht="40.9" customHeight="1" x14ac:dyDescent="0.25">
      <c r="A62" s="90"/>
      <c r="B62" s="132" t="s">
        <v>109</v>
      </c>
      <c r="C62" s="64" t="s">
        <v>106</v>
      </c>
      <c r="D62" s="96" t="s">
        <v>204</v>
      </c>
      <c r="E62" s="92">
        <f>E59</f>
        <v>36.043999999999997</v>
      </c>
      <c r="F62" s="93"/>
      <c r="G62" s="93"/>
      <c r="H62" s="183"/>
      <c r="I62" s="348"/>
    </row>
    <row r="63" spans="1:9" s="89" customFormat="1" ht="39" customHeight="1" x14ac:dyDescent="0.25">
      <c r="A63" s="90"/>
      <c r="B63" s="132" t="s">
        <v>120</v>
      </c>
      <c r="C63" s="64" t="s">
        <v>106</v>
      </c>
      <c r="D63" s="96" t="s">
        <v>205</v>
      </c>
      <c r="E63" s="92">
        <f>E60</f>
        <v>10.376000000000005</v>
      </c>
      <c r="F63" s="93"/>
      <c r="G63" s="93"/>
      <c r="H63" s="183"/>
      <c r="I63" s="348"/>
    </row>
    <row r="64" spans="1:9" s="89" customFormat="1" ht="25.5" customHeight="1" x14ac:dyDescent="0.25">
      <c r="A64" s="90">
        <v>5</v>
      </c>
      <c r="B64" s="132" t="s">
        <v>95</v>
      </c>
      <c r="C64" s="187" t="s">
        <v>127</v>
      </c>
      <c r="D64" s="96" t="s">
        <v>206</v>
      </c>
      <c r="E64" s="222">
        <v>15</v>
      </c>
      <c r="F64" s="93"/>
      <c r="G64" s="93"/>
      <c r="H64" s="183"/>
      <c r="I64" s="380"/>
    </row>
    <row r="65" spans="1:12" s="89" customFormat="1" ht="33" customHeight="1" x14ac:dyDescent="0.25">
      <c r="A65" s="21" t="s">
        <v>48</v>
      </c>
      <c r="B65" s="84" t="s">
        <v>49</v>
      </c>
      <c r="C65" s="85"/>
      <c r="D65" s="85"/>
      <c r="E65" s="92"/>
      <c r="F65" s="85"/>
      <c r="G65" s="85"/>
      <c r="H65" s="157">
        <f>SUM(H66:H66)</f>
        <v>0</v>
      </c>
      <c r="I65" s="95"/>
    </row>
    <row r="66" spans="1:12" s="89" customFormat="1" ht="34.15" customHeight="1" x14ac:dyDescent="0.25">
      <c r="A66" s="90">
        <v>1</v>
      </c>
      <c r="B66" s="91"/>
      <c r="C66" s="93"/>
      <c r="D66" s="90"/>
      <c r="E66" s="92"/>
      <c r="F66" s="97"/>
      <c r="G66" s="98"/>
      <c r="H66" s="184"/>
      <c r="I66" s="377"/>
    </row>
    <row r="67" spans="1:12" s="89" customFormat="1" ht="16.5" hidden="1" customHeight="1" x14ac:dyDescent="0.25">
      <c r="A67" s="90">
        <v>2</v>
      </c>
      <c r="B67" s="91"/>
      <c r="C67" s="93"/>
      <c r="D67" s="90"/>
      <c r="E67" s="92"/>
      <c r="F67" s="97"/>
      <c r="G67" s="98"/>
      <c r="H67" s="184"/>
      <c r="I67" s="378"/>
    </row>
    <row r="68" spans="1:12" s="102" customFormat="1" ht="22.15" customHeight="1" x14ac:dyDescent="0.25">
      <c r="A68" s="126"/>
      <c r="B68" s="100" t="s">
        <v>50</v>
      </c>
      <c r="C68" s="100"/>
      <c r="D68" s="100"/>
      <c r="E68" s="100"/>
      <c r="F68" s="100"/>
      <c r="G68" s="100"/>
      <c r="H68" s="158">
        <f>H49+H65</f>
        <v>0</v>
      </c>
      <c r="I68" s="101"/>
    </row>
    <row r="69" spans="1:12" ht="26.25" customHeight="1" x14ac:dyDescent="0.25">
      <c r="A69" s="127">
        <v>4</v>
      </c>
      <c r="B69" s="379" t="s">
        <v>51</v>
      </c>
      <c r="C69" s="379"/>
      <c r="D69" s="379"/>
      <c r="E69" s="379"/>
      <c r="F69" s="379"/>
      <c r="G69" s="379"/>
      <c r="H69" s="51"/>
      <c r="I69" s="51"/>
    </row>
    <row r="70" spans="1:12" s="104" customFormat="1" ht="31.5" customHeight="1" x14ac:dyDescent="0.25">
      <c r="A70" s="103" t="s">
        <v>25</v>
      </c>
      <c r="B70" s="338" t="s">
        <v>52</v>
      </c>
      <c r="C70" s="339"/>
      <c r="D70" s="21" t="s">
        <v>29</v>
      </c>
      <c r="E70" s="21" t="s">
        <v>53</v>
      </c>
      <c r="F70" s="21" t="s">
        <v>44</v>
      </c>
      <c r="G70" s="21" t="s">
        <v>54</v>
      </c>
      <c r="H70" s="21" t="s">
        <v>45</v>
      </c>
      <c r="I70" s="21" t="s">
        <v>33</v>
      </c>
    </row>
    <row r="71" spans="1:12" x14ac:dyDescent="0.25">
      <c r="A71" s="105"/>
      <c r="B71" s="340"/>
      <c r="C71" s="341"/>
      <c r="D71" s="106"/>
      <c r="E71" s="105"/>
      <c r="F71" s="107"/>
      <c r="G71" s="108"/>
      <c r="H71" s="108"/>
      <c r="I71" s="109"/>
      <c r="L71" s="110"/>
    </row>
    <row r="72" spans="1:12" s="112" customFormat="1" ht="30" customHeight="1" x14ac:dyDescent="0.25">
      <c r="A72" s="126"/>
      <c r="B72" s="342" t="s">
        <v>34</v>
      </c>
      <c r="C72" s="343"/>
      <c r="D72" s="100"/>
      <c r="E72" s="100"/>
      <c r="F72" s="100"/>
      <c r="G72" s="100"/>
      <c r="H72" s="163">
        <f>SUM(H71)</f>
        <v>0</v>
      </c>
      <c r="I72" s="111"/>
      <c r="L72" s="113"/>
    </row>
    <row r="73" spans="1:12" s="115" customFormat="1" ht="27.75" customHeight="1" x14ac:dyDescent="0.25">
      <c r="A73" s="128">
        <v>5</v>
      </c>
      <c r="B73" s="344" t="s">
        <v>56</v>
      </c>
      <c r="C73" s="344"/>
      <c r="D73" s="344"/>
      <c r="E73" s="344"/>
      <c r="F73" s="344"/>
      <c r="G73" s="345"/>
      <c r="H73" s="164">
        <f>H72+H68+H40+H34</f>
        <v>0</v>
      </c>
      <c r="I73" s="114" t="s">
        <v>57</v>
      </c>
    </row>
    <row r="74" spans="1:12" s="117" customFormat="1" ht="23.25" customHeight="1" x14ac:dyDescent="0.25">
      <c r="A74" s="129"/>
      <c r="B74" s="116" t="s">
        <v>78</v>
      </c>
      <c r="C74" s="346" t="s">
        <v>91</v>
      </c>
      <c r="D74" s="346"/>
      <c r="E74" s="346"/>
      <c r="F74" s="346"/>
      <c r="G74" s="346"/>
      <c r="H74" s="346"/>
      <c r="I74" s="346"/>
    </row>
    <row r="75" spans="1:12" s="41" customFormat="1" ht="57" customHeight="1" x14ac:dyDescent="0.25">
      <c r="A75" s="319" t="s">
        <v>100</v>
      </c>
      <c r="B75" s="319"/>
      <c r="C75" s="319"/>
      <c r="D75" s="319"/>
      <c r="E75" s="319"/>
      <c r="F75" s="319"/>
      <c r="G75" s="319"/>
      <c r="H75" s="319"/>
      <c r="I75" s="319"/>
    </row>
    <row r="76" spans="1:12" ht="15.75" customHeight="1" x14ac:dyDescent="0.25">
      <c r="A76" s="315" t="s">
        <v>102</v>
      </c>
      <c r="B76" s="315"/>
      <c r="C76" s="315"/>
      <c r="D76" s="315"/>
      <c r="E76" s="315"/>
      <c r="F76" s="315"/>
      <c r="G76" s="315"/>
      <c r="H76" s="315"/>
      <c r="I76" s="315"/>
    </row>
    <row r="77" spans="1:12" ht="1.5" customHeight="1" x14ac:dyDescent="0.25">
      <c r="A77" s="320" t="s">
        <v>107</v>
      </c>
      <c r="B77" s="320"/>
      <c r="C77" s="320"/>
      <c r="D77" s="321"/>
      <c r="E77" s="322" t="s">
        <v>108</v>
      </c>
      <c r="F77" s="323"/>
      <c r="G77" s="323"/>
      <c r="H77" s="323"/>
      <c r="I77" s="323"/>
    </row>
    <row r="78" spans="1:12" ht="30.75" customHeight="1" x14ac:dyDescent="0.25">
      <c r="A78" s="320"/>
      <c r="B78" s="320"/>
      <c r="C78" s="320"/>
      <c r="D78" s="321"/>
      <c r="E78" s="322"/>
      <c r="F78" s="323"/>
      <c r="G78" s="323"/>
      <c r="H78" s="323"/>
      <c r="I78" s="323"/>
    </row>
    <row r="79" spans="1:12" ht="32.25" customHeight="1" x14ac:dyDescent="0.25">
      <c r="A79" s="320"/>
      <c r="B79" s="320"/>
      <c r="C79" s="320"/>
      <c r="D79" s="321"/>
      <c r="E79" s="38"/>
      <c r="I79" s="20"/>
    </row>
    <row r="80" spans="1:12" ht="15" customHeight="1" x14ac:dyDescent="0.25">
      <c r="A80" s="315" t="s">
        <v>101</v>
      </c>
      <c r="B80" s="315"/>
      <c r="C80" s="315"/>
      <c r="D80" s="315"/>
      <c r="E80" s="315"/>
      <c r="F80" s="315"/>
      <c r="G80" s="315"/>
      <c r="H80" s="315"/>
      <c r="I80" s="315"/>
    </row>
    <row r="81" spans="1:9" ht="17.25" customHeight="1" x14ac:dyDescent="0.25"/>
    <row r="82" spans="1:9" x14ac:dyDescent="0.25">
      <c r="A82" s="315"/>
      <c r="B82" s="315"/>
      <c r="C82" s="315"/>
      <c r="D82" s="315"/>
      <c r="E82" s="315"/>
      <c r="F82" s="315"/>
      <c r="G82" s="315"/>
      <c r="H82" s="315"/>
      <c r="I82" s="315"/>
    </row>
  </sheetData>
  <mergeCells count="55">
    <mergeCell ref="A82:I82"/>
    <mergeCell ref="B46:G46"/>
    <mergeCell ref="B71:C71"/>
    <mergeCell ref="B72:C72"/>
    <mergeCell ref="I66:I67"/>
    <mergeCell ref="B69:G69"/>
    <mergeCell ref="B70:C70"/>
    <mergeCell ref="A80:I80"/>
    <mergeCell ref="B73:G73"/>
    <mergeCell ref="C74:I74"/>
    <mergeCell ref="A75:I75"/>
    <mergeCell ref="A76:I76"/>
    <mergeCell ref="A77:D79"/>
    <mergeCell ref="E77:I78"/>
    <mergeCell ref="I50:I64"/>
    <mergeCell ref="B40:C40"/>
    <mergeCell ref="A42:A44"/>
    <mergeCell ref="B42:G42"/>
    <mergeCell ref="B43:G43"/>
    <mergeCell ref="B44:G44"/>
    <mergeCell ref="B34:C34"/>
    <mergeCell ref="B36:I36"/>
    <mergeCell ref="B37:C37"/>
    <mergeCell ref="B38:C38"/>
    <mergeCell ref="B39:C39"/>
    <mergeCell ref="A30:A31"/>
    <mergeCell ref="B30:I30"/>
    <mergeCell ref="B31:C31"/>
    <mergeCell ref="B32:C32"/>
    <mergeCell ref="B33:C33"/>
    <mergeCell ref="C25:I25"/>
    <mergeCell ref="B26:F26"/>
    <mergeCell ref="B27:G27"/>
    <mergeCell ref="B28:I28"/>
    <mergeCell ref="B29:I29"/>
    <mergeCell ref="D19:E19"/>
    <mergeCell ref="C24:I24"/>
    <mergeCell ref="C10:I10"/>
    <mergeCell ref="C11:I11"/>
    <mergeCell ref="C14:I14"/>
    <mergeCell ref="C15:I15"/>
    <mergeCell ref="B17:I17"/>
    <mergeCell ref="F13:I13"/>
    <mergeCell ref="E1:I1"/>
    <mergeCell ref="E2:I2"/>
    <mergeCell ref="E4:I4"/>
    <mergeCell ref="A1:D1"/>
    <mergeCell ref="A2:D2"/>
    <mergeCell ref="A4:D4"/>
    <mergeCell ref="A5:I5"/>
    <mergeCell ref="A6:I6"/>
    <mergeCell ref="A7:I7"/>
    <mergeCell ref="B8:I8"/>
    <mergeCell ref="B9:E9"/>
    <mergeCell ref="F9:I9"/>
  </mergeCells>
  <pageMargins left="0.11811023622047245" right="0.15748031496062992" top="0.19685039370078741" bottom="0.15748031496062992" header="0.19685039370078741" footer="0.15748031496062992"/>
  <pageSetup paperSize="9" scale="80" orientation="portrait"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82"/>
  <sheetViews>
    <sheetView topLeftCell="A26" workbookViewId="0">
      <selection activeCell="B33" sqref="B33:C33"/>
    </sheetView>
  </sheetViews>
  <sheetFormatPr defaultColWidth="9.140625" defaultRowHeight="16.5" x14ac:dyDescent="0.25"/>
  <cols>
    <col min="1" max="1" width="4" style="68" customWidth="1"/>
    <col min="2" max="2" width="27.28515625" style="20" customWidth="1"/>
    <col min="3" max="3" width="9.140625" style="20" customWidth="1"/>
    <col min="4" max="4" width="24.28515625" style="20" customWidth="1"/>
    <col min="5" max="5" width="9.28515625" style="23" customWidth="1"/>
    <col min="6" max="6" width="12.28515625" style="20" customWidth="1"/>
    <col min="7" max="7" width="9.42578125" style="20" customWidth="1"/>
    <col min="8" max="8" width="14.42578125" style="20" customWidth="1"/>
    <col min="9" max="9" width="14.7109375" style="120" customWidth="1"/>
    <col min="10" max="10" width="25" style="20" customWidth="1"/>
    <col min="11" max="11" width="9.140625" style="20" customWidth="1"/>
    <col min="12" max="12" width="11.42578125" style="20" customWidth="1"/>
    <col min="13" max="19" width="9.140625" style="20" customWidth="1"/>
    <col min="20" max="16384" width="9.140625" style="20"/>
  </cols>
  <sheetData>
    <row r="1" spans="1:17" s="36" customFormat="1" x14ac:dyDescent="0.25">
      <c r="A1" s="368" t="s">
        <v>98</v>
      </c>
      <c r="B1" s="368"/>
      <c r="C1" s="368"/>
      <c r="D1" s="368"/>
      <c r="E1" s="368" t="s">
        <v>0</v>
      </c>
      <c r="F1" s="368"/>
      <c r="G1" s="368"/>
      <c r="H1" s="368"/>
      <c r="I1" s="368"/>
    </row>
    <row r="2" spans="1:17" s="36" customFormat="1" x14ac:dyDescent="0.25">
      <c r="A2" s="369" t="s">
        <v>99</v>
      </c>
      <c r="B2" s="369"/>
      <c r="C2" s="369"/>
      <c r="D2" s="369"/>
      <c r="E2" s="369" t="s">
        <v>1</v>
      </c>
      <c r="F2" s="368"/>
      <c r="G2" s="368"/>
      <c r="H2" s="368"/>
      <c r="I2" s="368"/>
    </row>
    <row r="3" spans="1:17" s="36" customFormat="1" ht="11.25" customHeight="1" x14ac:dyDescent="0.25">
      <c r="A3" s="39"/>
      <c r="C3" s="39"/>
      <c r="D3" s="39"/>
      <c r="E3" s="39"/>
      <c r="F3" s="39"/>
      <c r="G3" s="39"/>
      <c r="H3" s="39"/>
      <c r="I3" s="37"/>
    </row>
    <row r="4" spans="1:17" s="36" customFormat="1" ht="19.5" customHeight="1" x14ac:dyDescent="0.25">
      <c r="A4" s="369" t="s">
        <v>89</v>
      </c>
      <c r="B4" s="369"/>
      <c r="C4" s="369"/>
      <c r="D4" s="369"/>
      <c r="E4" s="370" t="s">
        <v>185</v>
      </c>
      <c r="F4" s="370"/>
      <c r="G4" s="370"/>
      <c r="H4" s="370"/>
      <c r="I4" s="370"/>
    </row>
    <row r="5" spans="1:17" s="40" customFormat="1" ht="24.75" customHeight="1" x14ac:dyDescent="0.25">
      <c r="A5" s="371" t="s">
        <v>85</v>
      </c>
      <c r="B5" s="371"/>
      <c r="C5" s="371"/>
      <c r="D5" s="371"/>
      <c r="E5" s="371"/>
      <c r="F5" s="371"/>
      <c r="G5" s="371"/>
      <c r="H5" s="371"/>
      <c r="I5" s="371"/>
    </row>
    <row r="6" spans="1:17" s="40" customFormat="1" ht="42.75" customHeight="1" x14ac:dyDescent="0.25">
      <c r="A6" s="372" t="s">
        <v>86</v>
      </c>
      <c r="B6" s="372"/>
      <c r="C6" s="372"/>
      <c r="D6" s="372"/>
      <c r="E6" s="372"/>
      <c r="F6" s="372"/>
      <c r="G6" s="372"/>
      <c r="H6" s="372"/>
      <c r="I6" s="372"/>
      <c r="Q6" s="41"/>
    </row>
    <row r="7" spans="1:17" s="40" customFormat="1" ht="29.25" customHeight="1" x14ac:dyDescent="0.25">
      <c r="A7" s="373" t="s">
        <v>207</v>
      </c>
      <c r="B7" s="373"/>
      <c r="C7" s="373"/>
      <c r="D7" s="373"/>
      <c r="E7" s="373"/>
      <c r="F7" s="373"/>
      <c r="G7" s="373"/>
      <c r="H7" s="373"/>
      <c r="I7" s="373"/>
    </row>
    <row r="8" spans="1:17" s="42" customFormat="1" ht="19.899999999999999" customHeight="1" x14ac:dyDescent="0.25">
      <c r="A8" s="121" t="s">
        <v>2</v>
      </c>
      <c r="B8" s="362" t="s">
        <v>3</v>
      </c>
      <c r="C8" s="362"/>
      <c r="D8" s="362"/>
      <c r="E8" s="362"/>
      <c r="F8" s="362"/>
      <c r="G8" s="362"/>
      <c r="H8" s="362"/>
      <c r="I8" s="362"/>
    </row>
    <row r="9" spans="1:17" s="42" customFormat="1" ht="19.899999999999999" customHeight="1" x14ac:dyDescent="0.25">
      <c r="A9" s="121" t="s">
        <v>4</v>
      </c>
      <c r="B9" s="374" t="s">
        <v>5</v>
      </c>
      <c r="C9" s="374"/>
      <c r="D9" s="374"/>
      <c r="E9" s="374"/>
      <c r="F9" s="375" t="s">
        <v>209</v>
      </c>
      <c r="G9" s="375"/>
      <c r="H9" s="375"/>
      <c r="I9" s="375"/>
    </row>
    <row r="10" spans="1:17" s="42" customFormat="1" ht="19.899999999999999" customHeight="1" x14ac:dyDescent="0.25">
      <c r="A10" s="122"/>
      <c r="B10" s="24" t="s">
        <v>6</v>
      </c>
      <c r="C10" s="365" t="s">
        <v>150</v>
      </c>
      <c r="D10" s="365"/>
      <c r="E10" s="365"/>
      <c r="F10" s="365"/>
      <c r="G10" s="365"/>
      <c r="H10" s="365"/>
      <c r="I10" s="365"/>
    </row>
    <row r="11" spans="1:17" s="42" customFormat="1" ht="19.899999999999999" customHeight="1" x14ac:dyDescent="0.25">
      <c r="A11" s="122"/>
      <c r="B11" s="24" t="s">
        <v>7</v>
      </c>
      <c r="C11" s="365" t="str">
        <f>+C10</f>
        <v>Thôn Phố Gốt- xã Phú Nghĩa - TP Hà Nội</v>
      </c>
      <c r="D11" s="365"/>
      <c r="E11" s="365"/>
      <c r="F11" s="365"/>
      <c r="G11" s="365"/>
      <c r="H11" s="365"/>
      <c r="I11" s="365"/>
    </row>
    <row r="12" spans="1:17" s="42" customFormat="1" ht="19.899999999999999" customHeight="1" x14ac:dyDescent="0.25">
      <c r="A12" s="122"/>
      <c r="B12" s="24" t="s">
        <v>11</v>
      </c>
      <c r="C12" s="361" t="s">
        <v>208</v>
      </c>
      <c r="D12" s="361"/>
      <c r="E12" s="361"/>
      <c r="F12" s="43"/>
      <c r="G12" s="43"/>
      <c r="H12" s="43"/>
      <c r="I12" s="43"/>
    </row>
    <row r="13" spans="1:17" s="42" customFormat="1" ht="19.899999999999999" customHeight="1" x14ac:dyDescent="0.25">
      <c r="A13" s="121" t="s">
        <v>9</v>
      </c>
      <c r="B13" s="44" t="s">
        <v>10</v>
      </c>
      <c r="E13" s="43"/>
      <c r="F13" s="365" t="str">
        <f>F9</f>
        <v xml:space="preserve">Đại diện hộ bà Nguyễn Thị Hòa </v>
      </c>
      <c r="G13" s="365"/>
      <c r="H13" s="365"/>
      <c r="I13" s="365"/>
      <c r="J13" s="45"/>
    </row>
    <row r="14" spans="1:17" s="42" customFormat="1" ht="19.899999999999999" customHeight="1" x14ac:dyDescent="0.25">
      <c r="A14" s="122"/>
      <c r="B14" s="24" t="s">
        <v>6</v>
      </c>
      <c r="C14" s="365" t="str">
        <f>+C10</f>
        <v>Thôn Phố Gốt- xã Phú Nghĩa - TP Hà Nội</v>
      </c>
      <c r="D14" s="365"/>
      <c r="E14" s="365"/>
      <c r="F14" s="365"/>
      <c r="G14" s="365"/>
      <c r="H14" s="365"/>
      <c r="I14" s="365"/>
    </row>
    <row r="15" spans="1:17" s="42" customFormat="1" ht="19.899999999999999" customHeight="1" x14ac:dyDescent="0.25">
      <c r="A15" s="122"/>
      <c r="B15" s="24" t="s">
        <v>7</v>
      </c>
      <c r="C15" s="365" t="str">
        <f>+C14</f>
        <v>Thôn Phố Gốt- xã Phú Nghĩa - TP Hà Nội</v>
      </c>
      <c r="D15" s="365"/>
      <c r="E15" s="365"/>
      <c r="F15" s="365"/>
      <c r="G15" s="365"/>
      <c r="H15" s="365"/>
      <c r="I15" s="365"/>
    </row>
    <row r="16" spans="1:17" s="42" customFormat="1" ht="19.899999999999999" customHeight="1" x14ac:dyDescent="0.25">
      <c r="A16" s="122"/>
      <c r="B16" s="24" t="s">
        <v>11</v>
      </c>
      <c r="C16" s="361" t="str">
        <f>+C12</f>
        <v>001166020878</v>
      </c>
      <c r="D16" s="361"/>
      <c r="E16" s="361"/>
      <c r="F16" s="43"/>
      <c r="G16" s="43"/>
      <c r="H16" s="43"/>
      <c r="I16" s="43"/>
    </row>
    <row r="17" spans="1:19" s="42" customFormat="1" ht="19.899999999999999" customHeight="1" x14ac:dyDescent="0.25">
      <c r="A17" s="121" t="s">
        <v>12</v>
      </c>
      <c r="B17" s="362" t="s">
        <v>13</v>
      </c>
      <c r="C17" s="362"/>
      <c r="D17" s="362"/>
      <c r="E17" s="362"/>
      <c r="F17" s="362"/>
      <c r="G17" s="362"/>
      <c r="H17" s="362"/>
      <c r="I17" s="362"/>
    </row>
    <row r="18" spans="1:19" s="42" customFormat="1" ht="19.899999999999999" customHeight="1" x14ac:dyDescent="0.25">
      <c r="A18" s="121" t="s">
        <v>4</v>
      </c>
      <c r="B18" s="46" t="s">
        <v>14</v>
      </c>
      <c r="E18" s="43"/>
    </row>
    <row r="19" spans="1:19" s="51" customFormat="1" ht="19.899999999999999" customHeight="1" x14ac:dyDescent="0.25">
      <c r="A19" s="123"/>
      <c r="B19" s="47" t="s">
        <v>15</v>
      </c>
      <c r="C19" s="144">
        <v>14</v>
      </c>
      <c r="D19" s="363" t="s">
        <v>16</v>
      </c>
      <c r="E19" s="363"/>
      <c r="F19" s="49" t="s">
        <v>128</v>
      </c>
      <c r="G19" s="50"/>
      <c r="I19" s="50"/>
      <c r="J19" s="382"/>
    </row>
    <row r="20" spans="1:19" s="51" customFormat="1" ht="19.899999999999999" customHeight="1" x14ac:dyDescent="0.25">
      <c r="A20" s="123"/>
      <c r="B20" s="47" t="s">
        <v>17</v>
      </c>
      <c r="C20" s="52">
        <v>265.7</v>
      </c>
      <c r="D20" s="50" t="s">
        <v>105</v>
      </c>
      <c r="E20" s="53"/>
      <c r="F20" s="54"/>
      <c r="H20" s="55"/>
      <c r="I20" s="50"/>
      <c r="J20" s="382"/>
      <c r="L20" s="133"/>
    </row>
    <row r="21" spans="1:19" s="51" customFormat="1" ht="19.899999999999999" customHeight="1" x14ac:dyDescent="0.25">
      <c r="A21" s="123"/>
      <c r="B21" s="56" t="s">
        <v>18</v>
      </c>
      <c r="C21" s="57"/>
      <c r="D21" s="50"/>
      <c r="E21" s="53"/>
      <c r="F21" s="50"/>
      <c r="H21" s="55"/>
      <c r="I21" s="50"/>
      <c r="J21" s="382"/>
      <c r="L21" s="133"/>
    </row>
    <row r="22" spans="1:19" s="51" customFormat="1" ht="19.899999999999999" customHeight="1" x14ac:dyDescent="0.25">
      <c r="A22" s="123"/>
      <c r="B22" s="47" t="s">
        <v>19</v>
      </c>
      <c r="C22" s="52">
        <v>37.299999999999997</v>
      </c>
      <c r="D22" s="50" t="s">
        <v>105</v>
      </c>
      <c r="E22" s="53"/>
      <c r="F22" s="50"/>
      <c r="H22" s="55"/>
      <c r="I22" s="50"/>
      <c r="J22" s="382"/>
      <c r="L22" s="134"/>
    </row>
    <row r="23" spans="1:19" s="51" customFormat="1" ht="19.899999999999999" customHeight="1" x14ac:dyDescent="0.25">
      <c r="A23" s="123"/>
      <c r="B23" s="47" t="s">
        <v>20</v>
      </c>
      <c r="C23" s="57">
        <f>C20-C22</f>
        <v>228.39999999999998</v>
      </c>
      <c r="D23" s="50" t="s">
        <v>105</v>
      </c>
      <c r="E23" s="53"/>
      <c r="F23" s="50"/>
      <c r="H23" s="55"/>
      <c r="I23" s="50"/>
      <c r="L23" s="133"/>
    </row>
    <row r="24" spans="1:19" s="42" customFormat="1" ht="21" customHeight="1" x14ac:dyDescent="0.25">
      <c r="A24" s="122"/>
      <c r="B24" s="24" t="s">
        <v>21</v>
      </c>
      <c r="C24" s="362" t="s">
        <v>149</v>
      </c>
      <c r="D24" s="362"/>
      <c r="E24" s="362"/>
      <c r="F24" s="362"/>
      <c r="G24" s="362"/>
      <c r="H24" s="362"/>
      <c r="I24" s="362"/>
      <c r="J24" s="133"/>
    </row>
    <row r="25" spans="1:19" s="36" customFormat="1" ht="192" customHeight="1" x14ac:dyDescent="0.25">
      <c r="A25" s="39" t="s">
        <v>9</v>
      </c>
      <c r="B25" s="58" t="s">
        <v>73</v>
      </c>
      <c r="C25" s="381" t="s">
        <v>566</v>
      </c>
      <c r="D25" s="319"/>
      <c r="E25" s="319"/>
      <c r="F25" s="319"/>
      <c r="G25" s="319"/>
      <c r="H25" s="319"/>
      <c r="I25" s="319"/>
      <c r="J25" s="382"/>
      <c r="K25" s="133"/>
      <c r="L25" s="59"/>
      <c r="M25" s="59"/>
      <c r="N25" s="59"/>
      <c r="O25" s="59"/>
      <c r="P25" s="59"/>
      <c r="Q25" s="59"/>
      <c r="R25" s="59"/>
      <c r="S25" s="59"/>
    </row>
    <row r="26" spans="1:19" s="36" customFormat="1" ht="21" customHeight="1" x14ac:dyDescent="0.25">
      <c r="A26" s="39" t="s">
        <v>22</v>
      </c>
      <c r="B26" s="364" t="s">
        <v>82</v>
      </c>
      <c r="C26" s="364"/>
      <c r="D26" s="364"/>
      <c r="E26" s="364"/>
      <c r="F26" s="364"/>
      <c r="G26" s="60"/>
      <c r="H26" s="149" t="s">
        <v>112</v>
      </c>
      <c r="I26" s="60" t="s">
        <v>55</v>
      </c>
      <c r="J26" s="382"/>
      <c r="K26" s="142"/>
      <c r="L26" s="59"/>
      <c r="M26" s="59"/>
      <c r="N26" s="59"/>
      <c r="O26" s="59"/>
      <c r="P26" s="59"/>
      <c r="Q26" s="59"/>
      <c r="R26" s="59"/>
      <c r="S26" s="59"/>
    </row>
    <row r="27" spans="1:19" s="36" customFormat="1" ht="23.25" customHeight="1" x14ac:dyDescent="0.25">
      <c r="A27" s="39" t="s">
        <v>23</v>
      </c>
      <c r="B27" s="364" t="s">
        <v>65</v>
      </c>
      <c r="C27" s="364"/>
      <c r="D27" s="364"/>
      <c r="E27" s="364"/>
      <c r="F27" s="364"/>
      <c r="G27" s="364"/>
      <c r="H27" s="148" t="s">
        <v>118</v>
      </c>
      <c r="I27" s="60" t="s">
        <v>84</v>
      </c>
      <c r="J27" s="382"/>
      <c r="K27" s="59"/>
      <c r="L27" s="59"/>
      <c r="M27" s="59"/>
      <c r="N27" s="59"/>
      <c r="O27" s="59"/>
      <c r="P27" s="59"/>
      <c r="Q27" s="59"/>
      <c r="R27" s="59"/>
      <c r="S27" s="59"/>
    </row>
    <row r="28" spans="1:19" s="41" customFormat="1" x14ac:dyDescent="0.25">
      <c r="A28" s="39" t="s">
        <v>88</v>
      </c>
      <c r="B28" s="364" t="s">
        <v>87</v>
      </c>
      <c r="C28" s="364"/>
      <c r="D28" s="364"/>
      <c r="E28" s="364"/>
      <c r="F28" s="364"/>
      <c r="G28" s="364"/>
      <c r="H28" s="364"/>
      <c r="I28" s="364"/>
      <c r="J28" s="382"/>
    </row>
    <row r="29" spans="1:19" s="40" customFormat="1" x14ac:dyDescent="0.25">
      <c r="A29" s="39" t="s">
        <v>4</v>
      </c>
      <c r="B29" s="360" t="s">
        <v>24</v>
      </c>
      <c r="C29" s="360"/>
      <c r="D29" s="360"/>
      <c r="E29" s="360"/>
      <c r="F29" s="360"/>
      <c r="G29" s="360"/>
      <c r="H29" s="360"/>
      <c r="I29" s="360"/>
      <c r="J29" s="41"/>
      <c r="K29" s="41"/>
      <c r="L29" s="41"/>
      <c r="M29" s="41"/>
      <c r="N29" s="41"/>
      <c r="O29" s="41"/>
      <c r="P29" s="41"/>
      <c r="Q29" s="41"/>
      <c r="R29" s="41"/>
      <c r="S29" s="41"/>
    </row>
    <row r="30" spans="1:19" s="24" customFormat="1" ht="32.25" customHeight="1" x14ac:dyDescent="0.25">
      <c r="A30" s="351" t="s">
        <v>25</v>
      </c>
      <c r="B30" s="353" t="s">
        <v>26</v>
      </c>
      <c r="C30" s="354"/>
      <c r="D30" s="354"/>
      <c r="E30" s="354"/>
      <c r="F30" s="354"/>
      <c r="G30" s="354"/>
      <c r="H30" s="354"/>
      <c r="I30" s="355"/>
      <c r="J30" s="133"/>
    </row>
    <row r="31" spans="1:19" s="25" customFormat="1" ht="49.5" x14ac:dyDescent="0.25">
      <c r="A31" s="352"/>
      <c r="B31" s="353" t="s">
        <v>27</v>
      </c>
      <c r="C31" s="355"/>
      <c r="D31" s="21" t="s">
        <v>28</v>
      </c>
      <c r="E31" s="22" t="s">
        <v>29</v>
      </c>
      <c r="F31" s="22" t="s">
        <v>30</v>
      </c>
      <c r="G31" s="21" t="s">
        <v>31</v>
      </c>
      <c r="H31" s="22" t="s">
        <v>104</v>
      </c>
      <c r="I31" s="22" t="s">
        <v>33</v>
      </c>
      <c r="J31" s="142"/>
    </row>
    <row r="32" spans="1:19" s="62" customFormat="1" ht="18.75" customHeight="1" x14ac:dyDescent="0.25">
      <c r="A32" s="61">
        <v>1</v>
      </c>
      <c r="B32" s="356">
        <v>2</v>
      </c>
      <c r="C32" s="357"/>
      <c r="D32" s="61">
        <v>3</v>
      </c>
      <c r="E32" s="61">
        <v>4</v>
      </c>
      <c r="F32" s="61">
        <v>5</v>
      </c>
      <c r="G32" s="61">
        <v>6</v>
      </c>
      <c r="H32" s="61">
        <v>7</v>
      </c>
      <c r="I32" s="61">
        <v>8</v>
      </c>
    </row>
    <row r="33" spans="1:9" s="68" customFormat="1" ht="37.9" customHeight="1" x14ac:dyDescent="0.25">
      <c r="A33" s="63">
        <v>1</v>
      </c>
      <c r="B33" s="358" t="s">
        <v>563</v>
      </c>
      <c r="C33" s="359"/>
      <c r="D33" s="64" t="s">
        <v>106</v>
      </c>
      <c r="E33" s="65">
        <f>C22</f>
        <v>37.299999999999997</v>
      </c>
      <c r="F33" s="63"/>
      <c r="G33" s="66"/>
      <c r="H33" s="166">
        <f>E33*F33*G33</f>
        <v>0</v>
      </c>
      <c r="I33" s="67"/>
    </row>
    <row r="34" spans="1:9" s="71" customFormat="1" ht="26.25" customHeight="1" x14ac:dyDescent="0.25">
      <c r="A34" s="69"/>
      <c r="B34" s="349" t="s">
        <v>34</v>
      </c>
      <c r="C34" s="350"/>
      <c r="D34" s="69"/>
      <c r="E34" s="69"/>
      <c r="F34" s="69"/>
      <c r="G34" s="69"/>
      <c r="H34" s="169">
        <f>SUM(H33:H33)</f>
        <v>0</v>
      </c>
      <c r="I34" s="69"/>
    </row>
    <row r="35" spans="1:9" ht="5.25" customHeight="1" x14ac:dyDescent="0.25">
      <c r="A35" s="77"/>
      <c r="B35" s="72"/>
      <c r="C35" s="72"/>
      <c r="D35" s="73"/>
      <c r="E35" s="73"/>
      <c r="F35" s="73"/>
      <c r="G35" s="73"/>
      <c r="H35" s="73"/>
      <c r="I35" s="73"/>
    </row>
    <row r="36" spans="1:9" x14ac:dyDescent="0.25">
      <c r="A36" s="75" t="s">
        <v>9</v>
      </c>
      <c r="B36" s="360" t="s">
        <v>35</v>
      </c>
      <c r="C36" s="360"/>
      <c r="D36" s="360"/>
      <c r="E36" s="360"/>
      <c r="F36" s="360"/>
      <c r="G36" s="360"/>
      <c r="H36" s="360"/>
      <c r="I36" s="360"/>
    </row>
    <row r="37" spans="1:9" s="23" customFormat="1" ht="49.5" x14ac:dyDescent="0.25">
      <c r="A37" s="29" t="s">
        <v>25</v>
      </c>
      <c r="B37" s="353" t="s">
        <v>27</v>
      </c>
      <c r="C37" s="355"/>
      <c r="D37" s="21" t="s">
        <v>28</v>
      </c>
      <c r="E37" s="22" t="s">
        <v>29</v>
      </c>
      <c r="F37" s="22" t="s">
        <v>30</v>
      </c>
      <c r="G37" s="21" t="s">
        <v>31</v>
      </c>
      <c r="H37" s="22" t="s">
        <v>32</v>
      </c>
      <c r="I37" s="22" t="s">
        <v>33</v>
      </c>
    </row>
    <row r="38" spans="1:9" s="62" customFormat="1" ht="18" customHeight="1" x14ac:dyDescent="0.25">
      <c r="A38" s="61">
        <v>1</v>
      </c>
      <c r="B38" s="356">
        <v>2</v>
      </c>
      <c r="C38" s="357"/>
      <c r="D38" s="61">
        <v>3</v>
      </c>
      <c r="E38" s="61">
        <v>4</v>
      </c>
      <c r="F38" s="61">
        <v>5</v>
      </c>
      <c r="G38" s="61">
        <v>6</v>
      </c>
      <c r="H38" s="61">
        <v>7</v>
      </c>
      <c r="I38" s="61">
        <v>8</v>
      </c>
    </row>
    <row r="39" spans="1:9" ht="33.75" customHeight="1" x14ac:dyDescent="0.25">
      <c r="A39" s="26">
        <v>1</v>
      </c>
      <c r="B39" s="353"/>
      <c r="C39" s="355"/>
      <c r="D39" s="27"/>
      <c r="E39" s="22"/>
      <c r="F39" s="27"/>
      <c r="G39" s="27"/>
      <c r="H39" s="27"/>
      <c r="I39" s="26" t="s">
        <v>36</v>
      </c>
    </row>
    <row r="40" spans="1:9" s="71" customFormat="1" ht="25.5" customHeight="1" x14ac:dyDescent="0.25">
      <c r="A40" s="69"/>
      <c r="B40" s="349" t="s">
        <v>34</v>
      </c>
      <c r="C40" s="350"/>
      <c r="D40" s="74"/>
      <c r="E40" s="69"/>
      <c r="F40" s="74"/>
      <c r="G40" s="74"/>
      <c r="H40" s="74"/>
      <c r="I40" s="69"/>
    </row>
    <row r="41" spans="1:9" x14ac:dyDescent="0.25">
      <c r="A41" s="124"/>
      <c r="B41" s="75"/>
      <c r="C41" s="75"/>
      <c r="D41" s="76"/>
      <c r="E41" s="75"/>
      <c r="F41" s="76"/>
      <c r="G41" s="76"/>
      <c r="H41" s="76"/>
      <c r="I41" s="75"/>
    </row>
    <row r="42" spans="1:9" x14ac:dyDescent="0.25">
      <c r="A42" s="324"/>
      <c r="B42" s="327" t="s">
        <v>37</v>
      </c>
      <c r="C42" s="328"/>
      <c r="D42" s="328"/>
      <c r="E42" s="328"/>
      <c r="F42" s="328"/>
      <c r="G42" s="329"/>
      <c r="H42" s="27"/>
      <c r="I42" s="26" t="s">
        <v>74</v>
      </c>
    </row>
    <row r="43" spans="1:9" x14ac:dyDescent="0.25">
      <c r="A43" s="325"/>
      <c r="B43" s="330" t="s">
        <v>38</v>
      </c>
      <c r="C43" s="331"/>
      <c r="D43" s="331"/>
      <c r="E43" s="331"/>
      <c r="F43" s="331"/>
      <c r="G43" s="332"/>
      <c r="H43" s="27"/>
      <c r="I43" s="26" t="s">
        <v>74</v>
      </c>
    </row>
    <row r="44" spans="1:9" x14ac:dyDescent="0.25">
      <c r="A44" s="326"/>
      <c r="B44" s="333" t="s">
        <v>39</v>
      </c>
      <c r="C44" s="334"/>
      <c r="D44" s="334"/>
      <c r="E44" s="334"/>
      <c r="F44" s="334"/>
      <c r="G44" s="335"/>
      <c r="H44" s="27"/>
      <c r="I44" s="26" t="s">
        <v>74</v>
      </c>
    </row>
    <row r="45" spans="1:9" x14ac:dyDescent="0.25">
      <c r="A45" s="77"/>
      <c r="B45" s="72"/>
      <c r="C45" s="72"/>
      <c r="D45" s="72"/>
      <c r="E45" s="78"/>
      <c r="F45" s="72"/>
      <c r="G45" s="72"/>
      <c r="H45" s="79"/>
      <c r="I45" s="79"/>
    </row>
    <row r="46" spans="1:9" ht="16.5" customHeight="1" x14ac:dyDescent="0.25">
      <c r="A46" s="125" t="s">
        <v>22</v>
      </c>
      <c r="B46" s="336" t="s">
        <v>40</v>
      </c>
      <c r="C46" s="336"/>
      <c r="D46" s="336"/>
      <c r="E46" s="336"/>
      <c r="F46" s="336"/>
      <c r="G46" s="336"/>
      <c r="H46" s="80"/>
      <c r="I46" s="81"/>
    </row>
    <row r="47" spans="1:9" s="30" customFormat="1" ht="49.5" x14ac:dyDescent="0.25">
      <c r="A47" s="21" t="s">
        <v>25</v>
      </c>
      <c r="B47" s="21" t="s">
        <v>41</v>
      </c>
      <c r="C47" s="21" t="s">
        <v>28</v>
      </c>
      <c r="D47" s="21" t="s">
        <v>42</v>
      </c>
      <c r="E47" s="21" t="s">
        <v>43</v>
      </c>
      <c r="F47" s="22" t="s">
        <v>30</v>
      </c>
      <c r="G47" s="21" t="s">
        <v>31</v>
      </c>
      <c r="H47" s="21" t="s">
        <v>45</v>
      </c>
      <c r="I47" s="21" t="s">
        <v>33</v>
      </c>
    </row>
    <row r="48" spans="1:9" s="83" customFormat="1" ht="18" customHeight="1" x14ac:dyDescent="0.25">
      <c r="A48" s="82">
        <v>1</v>
      </c>
      <c r="B48" s="82">
        <v>2</v>
      </c>
      <c r="C48" s="82">
        <v>3</v>
      </c>
      <c r="D48" s="82">
        <v>4</v>
      </c>
      <c r="E48" s="82">
        <v>5</v>
      </c>
      <c r="F48" s="82">
        <v>6</v>
      </c>
      <c r="G48" s="82">
        <v>7</v>
      </c>
      <c r="H48" s="82">
        <v>8</v>
      </c>
      <c r="I48" s="82">
        <v>9</v>
      </c>
    </row>
    <row r="49" spans="1:12" s="89" customFormat="1" ht="30" customHeight="1" x14ac:dyDescent="0.25">
      <c r="A49" s="21" t="s">
        <v>46</v>
      </c>
      <c r="B49" s="84" t="s">
        <v>47</v>
      </c>
      <c r="C49" s="85"/>
      <c r="D49" s="85"/>
      <c r="E49" s="86"/>
      <c r="F49" s="85"/>
      <c r="G49" s="85"/>
      <c r="H49" s="157">
        <f>SUM(H50:H58)</f>
        <v>0</v>
      </c>
      <c r="I49" s="88"/>
    </row>
    <row r="50" spans="1:12" s="89" customFormat="1" ht="25.15" customHeight="1" x14ac:dyDescent="0.25">
      <c r="A50" s="90">
        <v>1</v>
      </c>
      <c r="B50" s="91" t="s">
        <v>94</v>
      </c>
      <c r="C50" s="64" t="s">
        <v>106</v>
      </c>
      <c r="D50" s="96" t="s">
        <v>210</v>
      </c>
      <c r="E50" s="92">
        <f>4.92*11.5</f>
        <v>56.58</v>
      </c>
      <c r="F50" s="93"/>
      <c r="G50" s="93"/>
      <c r="H50" s="183"/>
      <c r="I50" s="347" t="s">
        <v>110</v>
      </c>
    </row>
    <row r="51" spans="1:12" s="89" customFormat="1" ht="25.15" customHeight="1" x14ac:dyDescent="0.25">
      <c r="A51" s="90">
        <v>2</v>
      </c>
      <c r="B51" s="91" t="s">
        <v>96</v>
      </c>
      <c r="C51" s="64" t="s">
        <v>106</v>
      </c>
      <c r="D51" s="96" t="s">
        <v>211</v>
      </c>
      <c r="E51" s="92">
        <f>4.92*4.5</f>
        <v>22.14</v>
      </c>
      <c r="F51" s="93"/>
      <c r="G51" s="93"/>
      <c r="H51" s="183"/>
      <c r="I51" s="348"/>
    </row>
    <row r="52" spans="1:12" s="141" customFormat="1" ht="87.4" customHeight="1" x14ac:dyDescent="0.25">
      <c r="A52" s="90">
        <v>3</v>
      </c>
      <c r="B52" s="91" t="s">
        <v>214</v>
      </c>
      <c r="C52" s="64" t="s">
        <v>106</v>
      </c>
      <c r="D52" s="96" t="s">
        <v>212</v>
      </c>
      <c r="E52" s="96">
        <f>70.87</f>
        <v>70.87</v>
      </c>
      <c r="F52" s="93"/>
      <c r="G52" s="93"/>
      <c r="H52" s="183"/>
      <c r="I52" s="348"/>
    </row>
    <row r="53" spans="1:12" s="141" customFormat="1" ht="41.25" customHeight="1" x14ac:dyDescent="0.25">
      <c r="A53" s="90"/>
      <c r="B53" s="132" t="s">
        <v>109</v>
      </c>
      <c r="C53" s="64" t="s">
        <v>106</v>
      </c>
      <c r="D53" s="96" t="s">
        <v>213</v>
      </c>
      <c r="E53" s="96">
        <v>36.5</v>
      </c>
      <c r="F53" s="93"/>
      <c r="G53" s="93"/>
      <c r="H53" s="183"/>
      <c r="I53" s="348"/>
    </row>
    <row r="54" spans="1:12" s="141" customFormat="1" ht="41.25" customHeight="1" x14ac:dyDescent="0.25">
      <c r="A54" s="90"/>
      <c r="B54" s="132" t="s">
        <v>120</v>
      </c>
      <c r="C54" s="64" t="s">
        <v>106</v>
      </c>
      <c r="D54" s="96"/>
      <c r="E54" s="96">
        <f>E52-E53</f>
        <v>34.370000000000005</v>
      </c>
      <c r="F54" s="93"/>
      <c r="G54" s="93"/>
      <c r="H54" s="183"/>
      <c r="I54" s="348"/>
    </row>
    <row r="55" spans="1:12" s="141" customFormat="1" ht="41.25" customHeight="1" x14ac:dyDescent="0.25">
      <c r="A55" s="90" t="s">
        <v>131</v>
      </c>
      <c r="B55" s="132" t="s">
        <v>134</v>
      </c>
      <c r="C55" s="64" t="s">
        <v>106</v>
      </c>
      <c r="D55" s="96" t="s">
        <v>145</v>
      </c>
      <c r="E55" s="96">
        <f>E52</f>
        <v>70.87</v>
      </c>
      <c r="F55" s="93"/>
      <c r="G55" s="93"/>
      <c r="H55" s="183"/>
      <c r="I55" s="348"/>
    </row>
    <row r="56" spans="1:12" s="141" customFormat="1" ht="41.25" customHeight="1" x14ac:dyDescent="0.25">
      <c r="A56" s="90"/>
      <c r="B56" s="132" t="s">
        <v>115</v>
      </c>
      <c r="C56" s="64" t="s">
        <v>106</v>
      </c>
      <c r="D56" s="96" t="s">
        <v>154</v>
      </c>
      <c r="E56" s="96">
        <f>E53</f>
        <v>36.5</v>
      </c>
      <c r="F56" s="93"/>
      <c r="G56" s="93"/>
      <c r="H56" s="183"/>
      <c r="I56" s="348"/>
    </row>
    <row r="57" spans="1:12" s="141" customFormat="1" ht="41.25" customHeight="1" x14ac:dyDescent="0.25">
      <c r="A57" s="90"/>
      <c r="B57" s="132" t="s">
        <v>129</v>
      </c>
      <c r="C57" s="64" t="s">
        <v>106</v>
      </c>
      <c r="D57" s="96" t="s">
        <v>155</v>
      </c>
      <c r="E57" s="96">
        <f>E54</f>
        <v>34.370000000000005</v>
      </c>
      <c r="F57" s="93"/>
      <c r="G57" s="93"/>
      <c r="H57" s="183"/>
      <c r="I57" s="348"/>
    </row>
    <row r="58" spans="1:12" s="141" customFormat="1" ht="30" customHeight="1" x14ac:dyDescent="0.25">
      <c r="A58" s="90">
        <v>4</v>
      </c>
      <c r="B58" s="91" t="s">
        <v>97</v>
      </c>
      <c r="C58" s="64" t="s">
        <v>92</v>
      </c>
      <c r="D58" s="96" t="s">
        <v>215</v>
      </c>
      <c r="E58" s="92">
        <f>1.8*4.5</f>
        <v>8.1</v>
      </c>
      <c r="F58" s="93"/>
      <c r="G58" s="93"/>
      <c r="H58" s="183"/>
      <c r="I58" s="348"/>
    </row>
    <row r="59" spans="1:12" s="89" customFormat="1" ht="25.5" customHeight="1" x14ac:dyDescent="0.25">
      <c r="A59" s="21" t="s">
        <v>48</v>
      </c>
      <c r="B59" s="84" t="s">
        <v>49</v>
      </c>
      <c r="C59" s="85"/>
      <c r="D59" s="85"/>
      <c r="E59" s="92"/>
      <c r="F59" s="85"/>
      <c r="G59" s="85"/>
      <c r="H59" s="157">
        <f>H60</f>
        <v>0</v>
      </c>
      <c r="I59" s="95"/>
    </row>
    <row r="60" spans="1:12" s="89" customFormat="1" ht="92.65" customHeight="1" x14ac:dyDescent="0.25">
      <c r="A60" s="90">
        <v>1</v>
      </c>
      <c r="B60" s="91" t="s">
        <v>160</v>
      </c>
      <c r="C60" s="64" t="s">
        <v>144</v>
      </c>
      <c r="D60" s="90" t="s">
        <v>216</v>
      </c>
      <c r="E60" s="92">
        <v>1</v>
      </c>
      <c r="F60" s="97"/>
      <c r="G60" s="98"/>
      <c r="H60" s="184"/>
      <c r="I60" s="156" t="s">
        <v>110</v>
      </c>
    </row>
    <row r="61" spans="1:12" s="102" customFormat="1" ht="24.75" customHeight="1" x14ac:dyDescent="0.25">
      <c r="A61" s="126"/>
      <c r="B61" s="100" t="s">
        <v>50</v>
      </c>
      <c r="C61" s="100"/>
      <c r="D61" s="100"/>
      <c r="E61" s="100"/>
      <c r="F61" s="100"/>
      <c r="G61" s="100"/>
      <c r="H61" s="158">
        <f>H49+H59</f>
        <v>0</v>
      </c>
      <c r="I61" s="101"/>
    </row>
    <row r="62" spans="1:12" ht="22.5" customHeight="1" x14ac:dyDescent="0.25">
      <c r="A62" s="127">
        <v>4</v>
      </c>
      <c r="B62" s="337" t="s">
        <v>51</v>
      </c>
      <c r="C62" s="337"/>
      <c r="D62" s="337"/>
      <c r="E62" s="337"/>
      <c r="F62" s="337"/>
      <c r="G62" s="337"/>
      <c r="H62" s="51"/>
      <c r="I62" s="51"/>
    </row>
    <row r="63" spans="1:12" s="104" customFormat="1" ht="49.5" x14ac:dyDescent="0.25">
      <c r="A63" s="103" t="s">
        <v>25</v>
      </c>
      <c r="B63" s="338" t="s">
        <v>52</v>
      </c>
      <c r="C63" s="339"/>
      <c r="D63" s="21" t="s">
        <v>29</v>
      </c>
      <c r="E63" s="21" t="s">
        <v>53</v>
      </c>
      <c r="F63" s="21" t="s">
        <v>44</v>
      </c>
      <c r="G63" s="21" t="s">
        <v>54</v>
      </c>
      <c r="H63" s="21" t="s">
        <v>45</v>
      </c>
      <c r="I63" s="21" t="s">
        <v>33</v>
      </c>
    </row>
    <row r="64" spans="1:12" ht="24.75" customHeight="1" x14ac:dyDescent="0.25">
      <c r="A64" s="105"/>
      <c r="B64" s="340"/>
      <c r="C64" s="341"/>
      <c r="D64" s="106"/>
      <c r="E64" s="105"/>
      <c r="F64" s="107"/>
      <c r="G64" s="108"/>
      <c r="H64" s="176"/>
      <c r="I64" s="109"/>
      <c r="L64" s="110"/>
    </row>
    <row r="65" spans="1:12" s="112" customFormat="1" ht="27.75" customHeight="1" x14ac:dyDescent="0.25">
      <c r="A65" s="126"/>
      <c r="B65" s="342" t="s">
        <v>34</v>
      </c>
      <c r="C65" s="343"/>
      <c r="D65" s="100"/>
      <c r="E65" s="100"/>
      <c r="F65" s="100"/>
      <c r="G65" s="100"/>
      <c r="H65" s="163">
        <f>SUM(H64)</f>
        <v>0</v>
      </c>
      <c r="I65" s="111"/>
      <c r="L65" s="113"/>
    </row>
    <row r="66" spans="1:12" s="115" customFormat="1" ht="27.75" customHeight="1" x14ac:dyDescent="0.25">
      <c r="A66" s="128">
        <v>5</v>
      </c>
      <c r="B66" s="344" t="s">
        <v>56</v>
      </c>
      <c r="C66" s="344"/>
      <c r="D66" s="344"/>
      <c r="E66" s="344"/>
      <c r="F66" s="344"/>
      <c r="G66" s="345"/>
      <c r="H66" s="164">
        <f>H65+H61+H40+H34</f>
        <v>0</v>
      </c>
      <c r="I66" s="114" t="s">
        <v>57</v>
      </c>
    </row>
    <row r="67" spans="1:12" s="117" customFormat="1" ht="17.25" x14ac:dyDescent="0.25">
      <c r="A67" s="129"/>
      <c r="B67" s="116" t="s">
        <v>78</v>
      </c>
      <c r="C67" s="346" t="s">
        <v>91</v>
      </c>
      <c r="D67" s="346"/>
      <c r="E67" s="346"/>
      <c r="F67" s="346"/>
      <c r="G67" s="346"/>
      <c r="H67" s="346"/>
      <c r="I67" s="346"/>
    </row>
    <row r="68" spans="1:12" s="41" customFormat="1" ht="17.25" hidden="1" x14ac:dyDescent="0.3">
      <c r="A68" s="39"/>
      <c r="B68" s="118"/>
      <c r="E68" s="119"/>
      <c r="F68" s="316" t="s">
        <v>75</v>
      </c>
      <c r="G68" s="316"/>
      <c r="H68" s="316"/>
      <c r="I68" s="316"/>
    </row>
    <row r="69" spans="1:12" hidden="1" x14ac:dyDescent="0.25">
      <c r="F69" s="316" t="s">
        <v>76</v>
      </c>
      <c r="G69" s="316"/>
      <c r="H69" s="316"/>
      <c r="I69" s="316"/>
    </row>
    <row r="70" spans="1:12" hidden="1" x14ac:dyDescent="0.25">
      <c r="F70" s="317"/>
      <c r="G70" s="317"/>
      <c r="H70" s="317"/>
      <c r="I70" s="317"/>
    </row>
    <row r="71" spans="1:12" hidden="1" x14ac:dyDescent="0.25"/>
    <row r="72" spans="1:12" hidden="1" x14ac:dyDescent="0.25"/>
    <row r="73" spans="1:12" hidden="1" x14ac:dyDescent="0.25"/>
    <row r="74" spans="1:12" hidden="1" x14ac:dyDescent="0.25"/>
    <row r="75" spans="1:12" hidden="1" x14ac:dyDescent="0.25"/>
    <row r="76" spans="1:12" hidden="1" x14ac:dyDescent="0.25">
      <c r="F76" s="318" t="s">
        <v>77</v>
      </c>
      <c r="G76" s="318"/>
      <c r="H76" s="318"/>
      <c r="I76" s="318"/>
    </row>
    <row r="77" spans="1:12" ht="65.25" customHeight="1" x14ac:dyDescent="0.25">
      <c r="A77" s="319" t="s">
        <v>100</v>
      </c>
      <c r="B77" s="319"/>
      <c r="C77" s="319"/>
      <c r="D77" s="319"/>
      <c r="E77" s="319"/>
      <c r="F77" s="319"/>
      <c r="G77" s="319"/>
      <c r="H77" s="319"/>
      <c r="I77" s="319"/>
    </row>
    <row r="78" spans="1:12" x14ac:dyDescent="0.25">
      <c r="A78" s="315" t="s">
        <v>102</v>
      </c>
      <c r="B78" s="315"/>
      <c r="C78" s="315"/>
      <c r="D78" s="315"/>
      <c r="E78" s="315"/>
      <c r="F78" s="315"/>
      <c r="G78" s="315"/>
      <c r="H78" s="315"/>
      <c r="I78" s="315"/>
    </row>
    <row r="79" spans="1:12" x14ac:dyDescent="0.25">
      <c r="A79" s="320" t="s">
        <v>107</v>
      </c>
      <c r="B79" s="320"/>
      <c r="C79" s="320"/>
      <c r="D79" s="321"/>
      <c r="E79" s="322" t="s">
        <v>108</v>
      </c>
      <c r="F79" s="323"/>
      <c r="G79" s="323"/>
      <c r="H79" s="323"/>
      <c r="I79" s="323"/>
    </row>
    <row r="80" spans="1:12" x14ac:dyDescent="0.25">
      <c r="A80" s="320"/>
      <c r="B80" s="320"/>
      <c r="C80" s="320"/>
      <c r="D80" s="321"/>
      <c r="E80" s="322"/>
      <c r="F80" s="323"/>
      <c r="G80" s="323"/>
      <c r="H80" s="323"/>
      <c r="I80" s="323"/>
    </row>
    <row r="81" spans="1:9" x14ac:dyDescent="0.25">
      <c r="A81" s="320"/>
      <c r="B81" s="320"/>
      <c r="C81" s="320"/>
      <c r="D81" s="321"/>
      <c r="E81" s="38"/>
      <c r="I81" s="20"/>
    </row>
    <row r="82" spans="1:9" x14ac:dyDescent="0.25">
      <c r="A82" s="315" t="s">
        <v>101</v>
      </c>
      <c r="B82" s="315"/>
      <c r="C82" s="315"/>
      <c r="D82" s="315"/>
      <c r="E82" s="315"/>
      <c r="F82" s="315"/>
      <c r="G82" s="315"/>
      <c r="H82" s="315"/>
      <c r="I82" s="315"/>
    </row>
  </sheetData>
  <mergeCells count="61">
    <mergeCell ref="J19:J22"/>
    <mergeCell ref="J25:J28"/>
    <mergeCell ref="F13:I13"/>
    <mergeCell ref="I50:I58"/>
    <mergeCell ref="A77:I77"/>
    <mergeCell ref="B62:G62"/>
    <mergeCell ref="B63:C63"/>
    <mergeCell ref="B64:C64"/>
    <mergeCell ref="B65:C65"/>
    <mergeCell ref="B66:G66"/>
    <mergeCell ref="C67:I67"/>
    <mergeCell ref="A42:A44"/>
    <mergeCell ref="B42:G42"/>
    <mergeCell ref="B43:G43"/>
    <mergeCell ref="B44:G44"/>
    <mergeCell ref="B46:G46"/>
    <mergeCell ref="A78:I78"/>
    <mergeCell ref="A79:D81"/>
    <mergeCell ref="E79:I80"/>
    <mergeCell ref="A82:I82"/>
    <mergeCell ref="F68:I68"/>
    <mergeCell ref="F69:I69"/>
    <mergeCell ref="F70:I70"/>
    <mergeCell ref="F76:I76"/>
    <mergeCell ref="A30:A31"/>
    <mergeCell ref="B30:I30"/>
    <mergeCell ref="B31:C31"/>
    <mergeCell ref="B26:F26"/>
    <mergeCell ref="C10:I10"/>
    <mergeCell ref="C11:I11"/>
    <mergeCell ref="C12:E12"/>
    <mergeCell ref="C14:I14"/>
    <mergeCell ref="C15:I15"/>
    <mergeCell ref="B28:I28"/>
    <mergeCell ref="B29:I29"/>
    <mergeCell ref="E1:I1"/>
    <mergeCell ref="E2:I2"/>
    <mergeCell ref="E4:I4"/>
    <mergeCell ref="A1:D1"/>
    <mergeCell ref="A2:D2"/>
    <mergeCell ref="A4:D4"/>
    <mergeCell ref="A5:I5"/>
    <mergeCell ref="A6:I6"/>
    <mergeCell ref="A7:I7"/>
    <mergeCell ref="B8:I8"/>
    <mergeCell ref="B27:G27"/>
    <mergeCell ref="B9:E9"/>
    <mergeCell ref="F9:I9"/>
    <mergeCell ref="B40:C40"/>
    <mergeCell ref="B34:C34"/>
    <mergeCell ref="B36:I36"/>
    <mergeCell ref="B37:C37"/>
    <mergeCell ref="B38:C38"/>
    <mergeCell ref="B39:C39"/>
    <mergeCell ref="B32:C32"/>
    <mergeCell ref="B33:C33"/>
    <mergeCell ref="C16:E16"/>
    <mergeCell ref="B17:I17"/>
    <mergeCell ref="D19:E19"/>
    <mergeCell ref="C24:I24"/>
    <mergeCell ref="C25:I25"/>
  </mergeCells>
  <printOptions horizontalCentered="1"/>
  <pageMargins left="0.11811023622047245" right="0.11811023622047245" top="0.11811023622047245" bottom="0.15748031496062992" header="0.11811023622047245" footer="0.15748031496062992"/>
  <pageSetup paperSize="9" scale="80" orientation="portrait"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78"/>
  <sheetViews>
    <sheetView topLeftCell="A31" workbookViewId="0">
      <selection activeCell="B38" sqref="B38:C38"/>
    </sheetView>
  </sheetViews>
  <sheetFormatPr defaultColWidth="9.140625" defaultRowHeight="16.5" x14ac:dyDescent="0.25"/>
  <cols>
    <col min="1" max="1" width="4.28515625" style="68" customWidth="1"/>
    <col min="2" max="2" width="27.7109375" style="20" customWidth="1"/>
    <col min="3" max="3" width="8.7109375" style="20" customWidth="1"/>
    <col min="4" max="4" width="22.7109375" style="20" customWidth="1"/>
    <col min="5" max="5" width="9.7109375" style="23" customWidth="1"/>
    <col min="6" max="6" width="12" style="20" customWidth="1"/>
    <col min="7" max="7" width="9.42578125" style="20" customWidth="1"/>
    <col min="8" max="8" width="15" style="20" customWidth="1"/>
    <col min="9" max="9" width="15.28515625" style="120" customWidth="1"/>
    <col min="10" max="10" width="12.28515625" style="20" customWidth="1"/>
    <col min="11" max="11" width="9.140625" style="20" customWidth="1"/>
    <col min="12" max="12" width="11.42578125" style="20" customWidth="1"/>
    <col min="13" max="19" width="9.140625" style="20" customWidth="1"/>
    <col min="20" max="16384" width="9.140625" style="20"/>
  </cols>
  <sheetData>
    <row r="1" spans="1:17" s="36" customFormat="1" ht="22.5" customHeight="1" x14ac:dyDescent="0.25">
      <c r="A1" s="368" t="s">
        <v>98</v>
      </c>
      <c r="B1" s="368"/>
      <c r="C1" s="368"/>
      <c r="D1" s="368"/>
      <c r="E1" s="368" t="s">
        <v>0</v>
      </c>
      <c r="F1" s="368"/>
      <c r="G1" s="368"/>
      <c r="H1" s="368"/>
      <c r="I1" s="368"/>
    </row>
    <row r="2" spans="1:17" s="36" customFormat="1" x14ac:dyDescent="0.25">
      <c r="A2" s="369" t="s">
        <v>99</v>
      </c>
      <c r="B2" s="369"/>
      <c r="C2" s="369"/>
      <c r="D2" s="369"/>
      <c r="E2" s="369" t="s">
        <v>1</v>
      </c>
      <c r="F2" s="368"/>
      <c r="G2" s="368"/>
      <c r="H2" s="368"/>
      <c r="I2" s="368"/>
    </row>
    <row r="3" spans="1:17" s="36" customFormat="1" ht="12.75" customHeight="1" x14ac:dyDescent="0.25">
      <c r="A3" s="39"/>
      <c r="C3" s="39"/>
      <c r="D3" s="39"/>
      <c r="E3" s="39"/>
      <c r="F3" s="39"/>
      <c r="G3" s="39"/>
      <c r="H3" s="39"/>
      <c r="I3" s="37"/>
    </row>
    <row r="4" spans="1:17" s="36" customFormat="1" ht="27.75" customHeight="1" x14ac:dyDescent="0.25">
      <c r="A4" s="369" t="s">
        <v>89</v>
      </c>
      <c r="B4" s="369"/>
      <c r="C4" s="369"/>
      <c r="D4" s="369"/>
      <c r="E4" s="370" t="s">
        <v>165</v>
      </c>
      <c r="F4" s="370"/>
      <c r="G4" s="370"/>
      <c r="H4" s="370"/>
      <c r="I4" s="370"/>
    </row>
    <row r="5" spans="1:17" s="40" customFormat="1" ht="21" customHeight="1" x14ac:dyDescent="0.25">
      <c r="A5" s="371" t="s">
        <v>85</v>
      </c>
      <c r="B5" s="371"/>
      <c r="C5" s="371"/>
      <c r="D5" s="371"/>
      <c r="E5" s="371"/>
      <c r="F5" s="371"/>
      <c r="G5" s="371"/>
      <c r="H5" s="371"/>
      <c r="I5" s="371"/>
    </row>
    <row r="6" spans="1:17" s="40" customFormat="1" ht="35.25" customHeight="1" x14ac:dyDescent="0.25">
      <c r="A6" s="372" t="s">
        <v>86</v>
      </c>
      <c r="B6" s="372"/>
      <c r="C6" s="372"/>
      <c r="D6" s="372"/>
      <c r="E6" s="372"/>
      <c r="F6" s="372"/>
      <c r="G6" s="372"/>
      <c r="H6" s="372"/>
      <c r="I6" s="372"/>
      <c r="Q6" s="41"/>
    </row>
    <row r="7" spans="1:17" s="40" customFormat="1" ht="23.25" customHeight="1" x14ac:dyDescent="0.25">
      <c r="A7" s="373" t="s">
        <v>166</v>
      </c>
      <c r="B7" s="373"/>
      <c r="C7" s="373"/>
      <c r="D7" s="373"/>
      <c r="E7" s="373"/>
      <c r="F7" s="373"/>
      <c r="G7" s="373"/>
      <c r="H7" s="373"/>
      <c r="I7" s="373"/>
    </row>
    <row r="8" spans="1:17" s="42" customFormat="1" ht="24.75" customHeight="1" x14ac:dyDescent="0.25">
      <c r="A8" s="121" t="s">
        <v>2</v>
      </c>
      <c r="B8" s="362" t="s">
        <v>3</v>
      </c>
      <c r="C8" s="362"/>
      <c r="D8" s="362"/>
      <c r="E8" s="362"/>
      <c r="F8" s="362"/>
      <c r="G8" s="362"/>
      <c r="H8" s="362"/>
      <c r="I8" s="362"/>
    </row>
    <row r="9" spans="1:17" s="42" customFormat="1" ht="19.899999999999999" customHeight="1" x14ac:dyDescent="0.25">
      <c r="A9" s="121" t="s">
        <v>4</v>
      </c>
      <c r="B9" s="374" t="s">
        <v>5</v>
      </c>
      <c r="C9" s="374"/>
      <c r="D9" s="374"/>
      <c r="E9" s="374"/>
      <c r="F9" s="375" t="s">
        <v>217</v>
      </c>
      <c r="G9" s="375"/>
      <c r="H9" s="375"/>
      <c r="I9" s="375"/>
    </row>
    <row r="10" spans="1:17" s="42" customFormat="1" ht="19.899999999999999" customHeight="1" x14ac:dyDescent="0.25">
      <c r="A10" s="122"/>
      <c r="B10" s="24" t="s">
        <v>6</v>
      </c>
      <c r="C10" s="365" t="s">
        <v>150</v>
      </c>
      <c r="D10" s="365"/>
      <c r="E10" s="365"/>
      <c r="F10" s="365"/>
      <c r="G10" s="365"/>
      <c r="H10" s="365"/>
      <c r="I10" s="365"/>
    </row>
    <row r="11" spans="1:17" s="42" customFormat="1" ht="19.899999999999999" customHeight="1" x14ac:dyDescent="0.25">
      <c r="A11" s="122"/>
      <c r="B11" s="24" t="s">
        <v>7</v>
      </c>
      <c r="C11" s="365" t="s">
        <v>146</v>
      </c>
      <c r="D11" s="365"/>
      <c r="E11" s="365"/>
      <c r="F11" s="365"/>
      <c r="G11" s="365"/>
      <c r="H11" s="365"/>
      <c r="I11" s="365"/>
    </row>
    <row r="12" spans="1:17" s="42" customFormat="1" ht="19.899999999999999" customHeight="1" x14ac:dyDescent="0.25">
      <c r="A12" s="122"/>
      <c r="B12" s="24" t="s">
        <v>11</v>
      </c>
      <c r="C12" s="361" t="s">
        <v>208</v>
      </c>
      <c r="D12" s="361"/>
      <c r="E12" s="361"/>
      <c r="F12" s="43"/>
      <c r="G12" s="43"/>
      <c r="H12" s="43"/>
      <c r="I12" s="43"/>
    </row>
    <row r="13" spans="1:17" s="42" customFormat="1" ht="19.899999999999999" customHeight="1" x14ac:dyDescent="0.25">
      <c r="A13" s="121" t="s">
        <v>9</v>
      </c>
      <c r="B13" s="44" t="s">
        <v>10</v>
      </c>
      <c r="E13" s="43"/>
      <c r="F13" s="362" t="str">
        <f>F9</f>
        <v>Đại diện hộ bà Nguyễn Thị Hòa</v>
      </c>
      <c r="G13" s="362"/>
      <c r="H13" s="362"/>
      <c r="I13" s="362"/>
      <c r="J13" s="45"/>
    </row>
    <row r="14" spans="1:17" s="42" customFormat="1" ht="19.899999999999999" customHeight="1" x14ac:dyDescent="0.25">
      <c r="A14" s="122"/>
      <c r="B14" s="24" t="s">
        <v>6</v>
      </c>
      <c r="C14" s="365" t="str">
        <f>+C10</f>
        <v>Thôn Phố Gốt- xã Phú Nghĩa - TP Hà Nội</v>
      </c>
      <c r="D14" s="365"/>
      <c r="E14" s="365"/>
      <c r="F14" s="365"/>
      <c r="G14" s="365"/>
      <c r="H14" s="365"/>
      <c r="I14" s="365"/>
    </row>
    <row r="15" spans="1:17" s="42" customFormat="1" ht="19.899999999999999" customHeight="1" x14ac:dyDescent="0.25">
      <c r="A15" s="122"/>
      <c r="B15" s="24" t="s">
        <v>7</v>
      </c>
      <c r="C15" s="365" t="str">
        <f>C11</f>
        <v>Thôn Phố Gốt - xã Phú Nghĩa - TP Hà Nội</v>
      </c>
      <c r="D15" s="365"/>
      <c r="E15" s="365"/>
      <c r="F15" s="365"/>
      <c r="G15" s="365"/>
      <c r="H15" s="365"/>
      <c r="I15" s="365"/>
    </row>
    <row r="16" spans="1:17" s="42" customFormat="1" ht="19.899999999999999" customHeight="1" x14ac:dyDescent="0.25">
      <c r="A16" s="122"/>
      <c r="B16" s="24" t="s">
        <v>11</v>
      </c>
      <c r="C16" s="361" t="str">
        <f>+C12</f>
        <v>001166020878</v>
      </c>
      <c r="D16" s="361"/>
      <c r="E16" s="361"/>
      <c r="F16" s="43"/>
      <c r="G16" s="43"/>
      <c r="H16" s="43"/>
      <c r="I16" s="43"/>
    </row>
    <row r="17" spans="1:19" s="42" customFormat="1" ht="19.899999999999999" customHeight="1" x14ac:dyDescent="0.25">
      <c r="A17" s="121" t="s">
        <v>12</v>
      </c>
      <c r="B17" s="362" t="s">
        <v>13</v>
      </c>
      <c r="C17" s="362"/>
      <c r="D17" s="362"/>
      <c r="E17" s="362"/>
      <c r="F17" s="362"/>
      <c r="G17" s="362"/>
      <c r="H17" s="362"/>
      <c r="I17" s="362"/>
    </row>
    <row r="18" spans="1:19" s="42" customFormat="1" ht="19.899999999999999" customHeight="1" x14ac:dyDescent="0.25">
      <c r="A18" s="121" t="s">
        <v>4</v>
      </c>
      <c r="B18" s="46" t="s">
        <v>14</v>
      </c>
      <c r="E18" s="43"/>
    </row>
    <row r="19" spans="1:19" s="51" customFormat="1" ht="19.899999999999999" customHeight="1" x14ac:dyDescent="0.25">
      <c r="A19" s="123"/>
      <c r="B19" s="47" t="s">
        <v>15</v>
      </c>
      <c r="C19" s="144">
        <v>68</v>
      </c>
      <c r="D19" s="363" t="s">
        <v>16</v>
      </c>
      <c r="E19" s="363"/>
      <c r="F19" s="49" t="s">
        <v>128</v>
      </c>
      <c r="G19" s="50"/>
      <c r="I19" s="50"/>
    </row>
    <row r="20" spans="1:19" s="51" customFormat="1" ht="19.899999999999999" customHeight="1" x14ac:dyDescent="0.25">
      <c r="A20" s="123"/>
      <c r="B20" s="47" t="s">
        <v>17</v>
      </c>
      <c r="C20" s="52">
        <v>33.5</v>
      </c>
      <c r="D20" s="50" t="s">
        <v>105</v>
      </c>
      <c r="E20" s="53"/>
      <c r="F20" s="54"/>
      <c r="H20" s="55"/>
      <c r="I20" s="50"/>
    </row>
    <row r="21" spans="1:19" s="51" customFormat="1" ht="19.899999999999999" customHeight="1" x14ac:dyDescent="0.25">
      <c r="A21" s="123"/>
      <c r="B21" s="56" t="s">
        <v>18</v>
      </c>
      <c r="C21" s="57"/>
      <c r="D21" s="50"/>
      <c r="E21" s="53"/>
      <c r="F21" s="50"/>
      <c r="H21" s="55"/>
      <c r="I21" s="50"/>
    </row>
    <row r="22" spans="1:19" s="51" customFormat="1" ht="19.899999999999999" customHeight="1" x14ac:dyDescent="0.25">
      <c r="A22" s="123"/>
      <c r="B22" s="47" t="s">
        <v>19</v>
      </c>
      <c r="C22" s="52">
        <v>33.5</v>
      </c>
      <c r="D22" s="50" t="s">
        <v>105</v>
      </c>
      <c r="E22" s="53"/>
      <c r="F22" s="50"/>
      <c r="H22" s="55"/>
      <c r="I22" s="50"/>
    </row>
    <row r="23" spans="1:19" s="51" customFormat="1" ht="19.899999999999999" customHeight="1" x14ac:dyDescent="0.25">
      <c r="A23" s="123"/>
      <c r="B23" s="47" t="s">
        <v>20</v>
      </c>
      <c r="C23" s="57">
        <f>C20-C22</f>
        <v>0</v>
      </c>
      <c r="D23" s="50" t="s">
        <v>105</v>
      </c>
      <c r="E23" s="53"/>
      <c r="F23" s="50"/>
      <c r="H23" s="55"/>
      <c r="I23" s="50"/>
    </row>
    <row r="24" spans="1:19" s="42" customFormat="1" ht="19.899999999999999" customHeight="1" x14ac:dyDescent="0.25">
      <c r="A24" s="122"/>
      <c r="B24" s="24" t="s">
        <v>21</v>
      </c>
      <c r="C24" s="362" t="s">
        <v>149</v>
      </c>
      <c r="D24" s="362"/>
      <c r="E24" s="362"/>
      <c r="F24" s="362"/>
      <c r="G24" s="362"/>
      <c r="H24" s="362"/>
      <c r="I24" s="362"/>
    </row>
    <row r="25" spans="1:19" s="36" customFormat="1" ht="221.25" customHeight="1" x14ac:dyDescent="0.25">
      <c r="A25" s="39" t="s">
        <v>23</v>
      </c>
      <c r="B25" s="58" t="s">
        <v>73</v>
      </c>
      <c r="C25" s="366" t="s">
        <v>567</v>
      </c>
      <c r="D25" s="367"/>
      <c r="E25" s="367"/>
      <c r="F25" s="367"/>
      <c r="G25" s="367"/>
      <c r="H25" s="367"/>
      <c r="I25" s="367"/>
      <c r="J25" s="133"/>
      <c r="K25" s="133"/>
      <c r="L25" s="59"/>
      <c r="M25" s="59"/>
      <c r="N25" s="59"/>
      <c r="O25" s="59"/>
      <c r="P25" s="59"/>
      <c r="Q25" s="59"/>
      <c r="R25" s="59"/>
      <c r="S25" s="59"/>
    </row>
    <row r="26" spans="1:19" s="36" customFormat="1" ht="21" customHeight="1" x14ac:dyDescent="0.25">
      <c r="A26" s="39" t="s">
        <v>81</v>
      </c>
      <c r="B26" s="364" t="s">
        <v>82</v>
      </c>
      <c r="C26" s="364"/>
      <c r="D26" s="364"/>
      <c r="E26" s="364"/>
      <c r="F26" s="364"/>
      <c r="G26" s="60"/>
      <c r="H26" s="149" t="s">
        <v>112</v>
      </c>
      <c r="I26" s="60" t="s">
        <v>55</v>
      </c>
      <c r="J26" s="142"/>
      <c r="K26" s="142"/>
      <c r="L26" s="59"/>
      <c r="M26" s="59"/>
      <c r="N26" s="59"/>
      <c r="O26" s="59"/>
      <c r="P26" s="59"/>
      <c r="Q26" s="59"/>
      <c r="R26" s="59"/>
      <c r="S26" s="59"/>
    </row>
    <row r="27" spans="1:19" s="36" customFormat="1" ht="23.25" customHeight="1" x14ac:dyDescent="0.25">
      <c r="A27" s="39" t="s">
        <v>83</v>
      </c>
      <c r="B27" s="364" t="s">
        <v>65</v>
      </c>
      <c r="C27" s="364"/>
      <c r="D27" s="364"/>
      <c r="E27" s="364"/>
      <c r="F27" s="364"/>
      <c r="G27" s="364"/>
      <c r="H27" s="148" t="s">
        <v>118</v>
      </c>
      <c r="I27" s="60" t="s">
        <v>84</v>
      </c>
      <c r="J27" s="59"/>
      <c r="K27" s="59"/>
      <c r="L27" s="59"/>
      <c r="M27" s="59"/>
      <c r="N27" s="59"/>
      <c r="O27" s="59"/>
      <c r="P27" s="59"/>
      <c r="Q27" s="59"/>
      <c r="R27" s="59"/>
      <c r="S27" s="59"/>
    </row>
    <row r="28" spans="1:19" s="41" customFormat="1" ht="24.75" customHeight="1" x14ac:dyDescent="0.25">
      <c r="A28" s="39" t="s">
        <v>88</v>
      </c>
      <c r="B28" s="364" t="s">
        <v>87</v>
      </c>
      <c r="C28" s="364"/>
      <c r="D28" s="364"/>
      <c r="E28" s="364"/>
      <c r="F28" s="364"/>
      <c r="G28" s="364"/>
      <c r="H28" s="364"/>
      <c r="I28" s="364"/>
    </row>
    <row r="29" spans="1:19" s="40" customFormat="1" ht="28.5" customHeight="1" x14ac:dyDescent="0.25">
      <c r="A29" s="39" t="s">
        <v>4</v>
      </c>
      <c r="B29" s="360" t="s">
        <v>24</v>
      </c>
      <c r="C29" s="360"/>
      <c r="D29" s="360"/>
      <c r="E29" s="360"/>
      <c r="F29" s="360"/>
      <c r="G29" s="360"/>
      <c r="H29" s="360"/>
      <c r="I29" s="360"/>
      <c r="J29" s="41"/>
      <c r="K29" s="41"/>
      <c r="L29" s="41"/>
      <c r="M29" s="41"/>
      <c r="N29" s="41"/>
      <c r="O29" s="41"/>
      <c r="P29" s="41"/>
      <c r="Q29" s="41"/>
      <c r="R29" s="41"/>
      <c r="S29" s="41"/>
    </row>
    <row r="30" spans="1:19" s="24" customFormat="1" ht="32.25" customHeight="1" x14ac:dyDescent="0.25">
      <c r="A30" s="351" t="s">
        <v>25</v>
      </c>
      <c r="B30" s="353" t="s">
        <v>26</v>
      </c>
      <c r="C30" s="354"/>
      <c r="D30" s="354"/>
      <c r="E30" s="354"/>
      <c r="F30" s="354"/>
      <c r="G30" s="354"/>
      <c r="H30" s="354"/>
      <c r="I30" s="355"/>
    </row>
    <row r="31" spans="1:19" s="25" customFormat="1" ht="49.5" x14ac:dyDescent="0.25">
      <c r="A31" s="352"/>
      <c r="B31" s="353" t="s">
        <v>27</v>
      </c>
      <c r="C31" s="355"/>
      <c r="D31" s="21" t="s">
        <v>28</v>
      </c>
      <c r="E31" s="22" t="s">
        <v>29</v>
      </c>
      <c r="F31" s="22" t="s">
        <v>30</v>
      </c>
      <c r="G31" s="21" t="s">
        <v>31</v>
      </c>
      <c r="H31" s="22" t="s">
        <v>104</v>
      </c>
      <c r="I31" s="22" t="s">
        <v>33</v>
      </c>
    </row>
    <row r="32" spans="1:19" s="62" customFormat="1" ht="18.75" customHeight="1" x14ac:dyDescent="0.25">
      <c r="A32" s="61">
        <v>1</v>
      </c>
      <c r="B32" s="356">
        <v>2</v>
      </c>
      <c r="C32" s="357"/>
      <c r="D32" s="61">
        <v>3</v>
      </c>
      <c r="E32" s="61">
        <v>4</v>
      </c>
      <c r="F32" s="61">
        <v>5</v>
      </c>
      <c r="G32" s="61">
        <v>6</v>
      </c>
      <c r="H32" s="61">
        <v>7</v>
      </c>
      <c r="I32" s="61">
        <v>8</v>
      </c>
    </row>
    <row r="33" spans="1:9" s="68" customFormat="1" ht="37.5" customHeight="1" x14ac:dyDescent="0.25">
      <c r="A33" s="63">
        <v>1</v>
      </c>
      <c r="B33" s="358" t="s">
        <v>563</v>
      </c>
      <c r="C33" s="359"/>
      <c r="D33" s="64" t="s">
        <v>106</v>
      </c>
      <c r="E33" s="65">
        <f>C22</f>
        <v>33.5</v>
      </c>
      <c r="F33" s="63"/>
      <c r="G33" s="66"/>
      <c r="H33" s="160">
        <f>E33*F33*G33</f>
        <v>0</v>
      </c>
      <c r="I33" s="67"/>
    </row>
    <row r="34" spans="1:9" s="71" customFormat="1" ht="27.75" customHeight="1" x14ac:dyDescent="0.25">
      <c r="A34" s="69"/>
      <c r="B34" s="349" t="s">
        <v>34</v>
      </c>
      <c r="C34" s="350"/>
      <c r="D34" s="69"/>
      <c r="E34" s="69"/>
      <c r="F34" s="69"/>
      <c r="G34" s="69"/>
      <c r="H34" s="161">
        <f>SUM(H33:H33)</f>
        <v>0</v>
      </c>
      <c r="I34" s="69"/>
    </row>
    <row r="35" spans="1:9" ht="6" customHeight="1" x14ac:dyDescent="0.25">
      <c r="A35" s="77"/>
      <c r="B35" s="72"/>
      <c r="C35" s="72"/>
      <c r="D35" s="73"/>
      <c r="E35" s="73"/>
      <c r="F35" s="73"/>
      <c r="G35" s="73"/>
      <c r="H35" s="73"/>
      <c r="I35" s="73"/>
    </row>
    <row r="36" spans="1:9" ht="23.25" customHeight="1" x14ac:dyDescent="0.25">
      <c r="A36" s="75" t="s">
        <v>9</v>
      </c>
      <c r="B36" s="360" t="s">
        <v>35</v>
      </c>
      <c r="C36" s="360"/>
      <c r="D36" s="360"/>
      <c r="E36" s="360"/>
      <c r="F36" s="360"/>
      <c r="G36" s="360"/>
      <c r="H36" s="360"/>
      <c r="I36" s="360"/>
    </row>
    <row r="37" spans="1:9" s="23" customFormat="1" ht="49.5" x14ac:dyDescent="0.25">
      <c r="A37" s="29" t="s">
        <v>25</v>
      </c>
      <c r="B37" s="353" t="s">
        <v>27</v>
      </c>
      <c r="C37" s="355"/>
      <c r="D37" s="21" t="s">
        <v>28</v>
      </c>
      <c r="E37" s="22" t="s">
        <v>29</v>
      </c>
      <c r="F37" s="22" t="s">
        <v>30</v>
      </c>
      <c r="G37" s="21" t="s">
        <v>31</v>
      </c>
      <c r="H37" s="22" t="s">
        <v>32</v>
      </c>
      <c r="I37" s="22" t="s">
        <v>33</v>
      </c>
    </row>
    <row r="38" spans="1:9" s="62" customFormat="1" ht="18" customHeight="1" x14ac:dyDescent="0.25">
      <c r="A38" s="61">
        <v>1</v>
      </c>
      <c r="B38" s="356">
        <v>2</v>
      </c>
      <c r="C38" s="357"/>
      <c r="D38" s="61">
        <v>3</v>
      </c>
      <c r="E38" s="61">
        <v>4</v>
      </c>
      <c r="F38" s="61">
        <v>5</v>
      </c>
      <c r="G38" s="61">
        <v>6</v>
      </c>
      <c r="H38" s="61">
        <v>7</v>
      </c>
      <c r="I38" s="61">
        <v>8</v>
      </c>
    </row>
    <row r="39" spans="1:9" ht="30.75" customHeight="1" x14ac:dyDescent="0.25">
      <c r="A39" s="26">
        <v>1</v>
      </c>
      <c r="B39" s="353"/>
      <c r="C39" s="355"/>
      <c r="D39" s="27"/>
      <c r="E39" s="22"/>
      <c r="F39" s="27"/>
      <c r="G39" s="27"/>
      <c r="H39" s="27"/>
      <c r="I39" s="26" t="s">
        <v>36</v>
      </c>
    </row>
    <row r="40" spans="1:9" s="71" customFormat="1" ht="25.5" customHeight="1" x14ac:dyDescent="0.25">
      <c r="A40" s="69"/>
      <c r="B40" s="349" t="s">
        <v>34</v>
      </c>
      <c r="C40" s="350"/>
      <c r="D40" s="74"/>
      <c r="E40" s="69"/>
      <c r="F40" s="74"/>
      <c r="G40" s="74"/>
      <c r="H40" s="74"/>
      <c r="I40" s="69"/>
    </row>
    <row r="41" spans="1:9" ht="13.5" customHeight="1" x14ac:dyDescent="0.25">
      <c r="A41" s="124"/>
      <c r="B41" s="75"/>
      <c r="C41" s="75"/>
      <c r="D41" s="76"/>
      <c r="E41" s="75"/>
      <c r="F41" s="76"/>
      <c r="G41" s="76"/>
      <c r="H41" s="76"/>
      <c r="I41" s="75"/>
    </row>
    <row r="42" spans="1:9" x14ac:dyDescent="0.25">
      <c r="A42" s="324"/>
      <c r="B42" s="327" t="s">
        <v>37</v>
      </c>
      <c r="C42" s="328"/>
      <c r="D42" s="328"/>
      <c r="E42" s="328"/>
      <c r="F42" s="328"/>
      <c r="G42" s="329"/>
      <c r="H42" s="27"/>
      <c r="I42" s="26" t="s">
        <v>74</v>
      </c>
    </row>
    <row r="43" spans="1:9" x14ac:dyDescent="0.25">
      <c r="A43" s="325"/>
      <c r="B43" s="330" t="s">
        <v>38</v>
      </c>
      <c r="C43" s="331"/>
      <c r="D43" s="331"/>
      <c r="E43" s="331"/>
      <c r="F43" s="331"/>
      <c r="G43" s="332"/>
      <c r="H43" s="27"/>
      <c r="I43" s="26" t="s">
        <v>74</v>
      </c>
    </row>
    <row r="44" spans="1:9" x14ac:dyDescent="0.25">
      <c r="A44" s="326"/>
      <c r="B44" s="333" t="s">
        <v>39</v>
      </c>
      <c r="C44" s="334"/>
      <c r="D44" s="334"/>
      <c r="E44" s="334"/>
      <c r="F44" s="334"/>
      <c r="G44" s="335"/>
      <c r="H44" s="27"/>
      <c r="I44" s="26" t="s">
        <v>74</v>
      </c>
    </row>
    <row r="45" spans="1:9" ht="8.25" customHeight="1" x14ac:dyDescent="0.25">
      <c r="A45" s="77"/>
      <c r="B45" s="72"/>
      <c r="C45" s="72"/>
      <c r="D45" s="72"/>
      <c r="E45" s="78"/>
      <c r="F45" s="72"/>
      <c r="G45" s="72"/>
      <c r="H45" s="79"/>
      <c r="I45" s="79"/>
    </row>
    <row r="46" spans="1:9" ht="18" customHeight="1" x14ac:dyDescent="0.25">
      <c r="A46" s="125" t="s">
        <v>22</v>
      </c>
      <c r="B46" s="336" t="s">
        <v>40</v>
      </c>
      <c r="C46" s="336"/>
      <c r="D46" s="336"/>
      <c r="E46" s="336"/>
      <c r="F46" s="336"/>
      <c r="G46" s="336"/>
      <c r="H46" s="80"/>
      <c r="I46" s="81"/>
    </row>
    <row r="47" spans="1:9" s="30" customFormat="1" ht="49.5" x14ac:dyDescent="0.25">
      <c r="A47" s="21" t="s">
        <v>25</v>
      </c>
      <c r="B47" s="21" t="s">
        <v>41</v>
      </c>
      <c r="C47" s="21" t="s">
        <v>28</v>
      </c>
      <c r="D47" s="21" t="s">
        <v>42</v>
      </c>
      <c r="E47" s="21" t="s">
        <v>43</v>
      </c>
      <c r="F47" s="21" t="s">
        <v>44</v>
      </c>
      <c r="G47" s="21" t="s">
        <v>31</v>
      </c>
      <c r="H47" s="21" t="s">
        <v>45</v>
      </c>
      <c r="I47" s="21" t="s">
        <v>33</v>
      </c>
    </row>
    <row r="48" spans="1:9" s="83" customFormat="1" ht="18" customHeight="1" x14ac:dyDescent="0.25">
      <c r="A48" s="82">
        <v>1</v>
      </c>
      <c r="B48" s="82">
        <v>2</v>
      </c>
      <c r="C48" s="82">
        <v>3</v>
      </c>
      <c r="D48" s="82">
        <v>4</v>
      </c>
      <c r="E48" s="82">
        <v>5</v>
      </c>
      <c r="F48" s="82">
        <v>6</v>
      </c>
      <c r="G48" s="82">
        <v>7</v>
      </c>
      <c r="H48" s="82">
        <v>8</v>
      </c>
      <c r="I48" s="82">
        <v>9</v>
      </c>
    </row>
    <row r="49" spans="1:12" s="89" customFormat="1" ht="30" customHeight="1" x14ac:dyDescent="0.25">
      <c r="A49" s="21" t="s">
        <v>46</v>
      </c>
      <c r="B49" s="84" t="s">
        <v>47</v>
      </c>
      <c r="C49" s="85"/>
      <c r="D49" s="85"/>
      <c r="E49" s="86"/>
      <c r="F49" s="85"/>
      <c r="G49" s="85"/>
      <c r="H49" s="157">
        <f>SUM(H50:H54)</f>
        <v>0</v>
      </c>
      <c r="I49" s="88"/>
    </row>
    <row r="50" spans="1:12" s="89" customFormat="1" ht="24.75" customHeight="1" x14ac:dyDescent="0.25">
      <c r="A50" s="90">
        <v>1</v>
      </c>
      <c r="B50" s="91" t="s">
        <v>90</v>
      </c>
      <c r="C50" s="64" t="s">
        <v>106</v>
      </c>
      <c r="D50" s="90" t="s">
        <v>218</v>
      </c>
      <c r="E50" s="231">
        <v>13.42</v>
      </c>
      <c r="F50" s="93"/>
      <c r="G50" s="93"/>
      <c r="H50" s="159"/>
      <c r="I50" s="347" t="s">
        <v>116</v>
      </c>
    </row>
    <row r="51" spans="1:12" s="89" customFormat="1" ht="28.5" customHeight="1" x14ac:dyDescent="0.25">
      <c r="A51" s="90">
        <v>2</v>
      </c>
      <c r="B51" s="91" t="s">
        <v>151</v>
      </c>
      <c r="C51" s="64" t="s">
        <v>106</v>
      </c>
      <c r="D51" s="96" t="s">
        <v>219</v>
      </c>
      <c r="E51" s="242">
        <f>E50</f>
        <v>13.42</v>
      </c>
      <c r="F51" s="93"/>
      <c r="G51" s="93"/>
      <c r="H51" s="159"/>
      <c r="I51" s="348"/>
    </row>
    <row r="52" spans="1:12" s="89" customFormat="1" ht="86.65" customHeight="1" x14ac:dyDescent="0.25">
      <c r="A52" s="90">
        <v>3</v>
      </c>
      <c r="B52" s="91" t="s">
        <v>220</v>
      </c>
      <c r="C52" s="64" t="s">
        <v>106</v>
      </c>
      <c r="D52" s="96" t="s">
        <v>221</v>
      </c>
      <c r="E52" s="92">
        <f>C20-E50</f>
        <v>20.079999999999998</v>
      </c>
      <c r="F52" s="93"/>
      <c r="G52" s="93"/>
      <c r="H52" s="159"/>
      <c r="I52" s="348"/>
    </row>
    <row r="53" spans="1:12" s="89" customFormat="1" ht="28.5" customHeight="1" x14ac:dyDescent="0.25">
      <c r="A53" s="90" t="s">
        <v>131</v>
      </c>
      <c r="B53" s="132" t="s">
        <v>222</v>
      </c>
      <c r="C53" s="64" t="s">
        <v>106</v>
      </c>
      <c r="D53" s="96" t="s">
        <v>145</v>
      </c>
      <c r="E53" s="92">
        <f>E52</f>
        <v>20.079999999999998</v>
      </c>
      <c r="F53" s="93"/>
      <c r="G53" s="93"/>
      <c r="H53" s="159"/>
      <c r="I53" s="348"/>
    </row>
    <row r="54" spans="1:12" s="89" customFormat="1" ht="25.5" customHeight="1" x14ac:dyDescent="0.25">
      <c r="A54" s="90">
        <v>4</v>
      </c>
      <c r="B54" s="91" t="s">
        <v>90</v>
      </c>
      <c r="C54" s="64" t="s">
        <v>92</v>
      </c>
      <c r="D54" s="90" t="s">
        <v>223</v>
      </c>
      <c r="E54" s="92">
        <f>4.79*2.25</f>
        <v>10.7775</v>
      </c>
      <c r="F54" s="93"/>
      <c r="G54" s="93"/>
      <c r="H54" s="159"/>
      <c r="I54" s="380"/>
    </row>
    <row r="55" spans="1:12" s="89" customFormat="1" ht="25.5" customHeight="1" x14ac:dyDescent="0.25">
      <c r="A55" s="21" t="s">
        <v>48</v>
      </c>
      <c r="B55" s="84" t="s">
        <v>49</v>
      </c>
      <c r="C55" s="85"/>
      <c r="D55" s="85"/>
      <c r="E55" s="92"/>
      <c r="F55" s="85"/>
      <c r="G55" s="85"/>
      <c r="H55" s="157">
        <f>SUM(H56:H56)</f>
        <v>0</v>
      </c>
      <c r="I55" s="95"/>
    </row>
    <row r="56" spans="1:12" s="89" customFormat="1" x14ac:dyDescent="0.25">
      <c r="A56" s="90"/>
      <c r="B56" s="91"/>
      <c r="C56" s="93"/>
      <c r="D56" s="90"/>
      <c r="E56" s="92"/>
      <c r="F56" s="97"/>
      <c r="G56" s="98"/>
      <c r="H56" s="97"/>
      <c r="I56" s="147"/>
    </row>
    <row r="57" spans="1:12" s="102" customFormat="1" ht="31.5" customHeight="1" x14ac:dyDescent="0.25">
      <c r="A57" s="126"/>
      <c r="B57" s="100" t="s">
        <v>50</v>
      </c>
      <c r="C57" s="100"/>
      <c r="D57" s="100"/>
      <c r="E57" s="100"/>
      <c r="F57" s="100"/>
      <c r="G57" s="100"/>
      <c r="H57" s="158">
        <f>H49+H55</f>
        <v>0</v>
      </c>
      <c r="I57" s="101"/>
    </row>
    <row r="58" spans="1:12" ht="22.5" customHeight="1" x14ac:dyDescent="0.25">
      <c r="A58" s="127">
        <v>4</v>
      </c>
      <c r="B58" s="337" t="s">
        <v>51</v>
      </c>
      <c r="C58" s="337"/>
      <c r="D58" s="337"/>
      <c r="E58" s="337"/>
      <c r="F58" s="337"/>
      <c r="G58" s="337"/>
      <c r="H58" s="51"/>
      <c r="I58" s="51"/>
    </row>
    <row r="59" spans="1:12" s="104" customFormat="1" ht="49.5" x14ac:dyDescent="0.25">
      <c r="A59" s="103" t="s">
        <v>25</v>
      </c>
      <c r="B59" s="338" t="s">
        <v>52</v>
      </c>
      <c r="C59" s="339"/>
      <c r="D59" s="21" t="s">
        <v>29</v>
      </c>
      <c r="E59" s="21" t="s">
        <v>53</v>
      </c>
      <c r="F59" s="21" t="s">
        <v>44</v>
      </c>
      <c r="G59" s="21" t="s">
        <v>54</v>
      </c>
      <c r="H59" s="21" t="s">
        <v>45</v>
      </c>
      <c r="I59" s="21" t="s">
        <v>33</v>
      </c>
    </row>
    <row r="60" spans="1:12" ht="32.25" customHeight="1" x14ac:dyDescent="0.25">
      <c r="A60" s="105"/>
      <c r="B60" s="340"/>
      <c r="C60" s="341"/>
      <c r="D60" s="106"/>
      <c r="E60" s="105"/>
      <c r="F60" s="107"/>
      <c r="G60" s="108"/>
      <c r="H60" s="108"/>
      <c r="I60" s="109"/>
      <c r="L60" s="110"/>
    </row>
    <row r="61" spans="1:12" s="112" customFormat="1" ht="27.75" customHeight="1" x14ac:dyDescent="0.25">
      <c r="A61" s="126"/>
      <c r="B61" s="342" t="s">
        <v>34</v>
      </c>
      <c r="C61" s="343"/>
      <c r="D61" s="100"/>
      <c r="E61" s="100"/>
      <c r="F61" s="100"/>
      <c r="G61" s="100"/>
      <c r="H61" s="158">
        <f>SUM(H60)</f>
        <v>0</v>
      </c>
      <c r="I61" s="111"/>
      <c r="L61" s="113"/>
    </row>
    <row r="62" spans="1:12" s="115" customFormat="1" ht="27.75" customHeight="1" x14ac:dyDescent="0.25">
      <c r="A62" s="128">
        <v>5</v>
      </c>
      <c r="B62" s="344" t="s">
        <v>56</v>
      </c>
      <c r="C62" s="344"/>
      <c r="D62" s="344"/>
      <c r="E62" s="344"/>
      <c r="F62" s="344"/>
      <c r="G62" s="345"/>
      <c r="H62" s="162">
        <f>H61+H57+H40+H34</f>
        <v>0</v>
      </c>
      <c r="I62" s="114" t="s">
        <v>57</v>
      </c>
    </row>
    <row r="63" spans="1:12" s="117" customFormat="1" ht="17.25" x14ac:dyDescent="0.25">
      <c r="A63" s="129"/>
      <c r="B63" s="116" t="s">
        <v>78</v>
      </c>
      <c r="C63" s="346" t="s">
        <v>91</v>
      </c>
      <c r="D63" s="346"/>
      <c r="E63" s="346"/>
      <c r="F63" s="346"/>
      <c r="G63" s="346"/>
      <c r="H63" s="346"/>
      <c r="I63" s="346"/>
    </row>
    <row r="64" spans="1:12" s="41" customFormat="1" ht="17.25" hidden="1" x14ac:dyDescent="0.3">
      <c r="A64" s="39"/>
      <c r="B64" s="118"/>
      <c r="E64" s="119"/>
      <c r="F64" s="316" t="s">
        <v>75</v>
      </c>
      <c r="G64" s="316"/>
      <c r="H64" s="316"/>
      <c r="I64" s="316"/>
    </row>
    <row r="65" spans="1:9" hidden="1" x14ac:dyDescent="0.25">
      <c r="F65" s="316" t="s">
        <v>76</v>
      </c>
      <c r="G65" s="316"/>
      <c r="H65" s="316"/>
      <c r="I65" s="316"/>
    </row>
    <row r="66" spans="1:9" hidden="1" x14ac:dyDescent="0.25">
      <c r="F66" s="317"/>
      <c r="G66" s="317"/>
      <c r="H66" s="317"/>
      <c r="I66" s="317"/>
    </row>
    <row r="67" spans="1:9" hidden="1" x14ac:dyDescent="0.25"/>
    <row r="68" spans="1:9" hidden="1" x14ac:dyDescent="0.25"/>
    <row r="69" spans="1:9" hidden="1" x14ac:dyDescent="0.25"/>
    <row r="70" spans="1:9" hidden="1" x14ac:dyDescent="0.25"/>
    <row r="71" spans="1:9" hidden="1" x14ac:dyDescent="0.25"/>
    <row r="72" spans="1:9" hidden="1" x14ac:dyDescent="0.25">
      <c r="F72" s="318" t="s">
        <v>77</v>
      </c>
      <c r="G72" s="318"/>
      <c r="H72" s="318"/>
      <c r="I72" s="318"/>
    </row>
    <row r="73" spans="1:9" ht="63" customHeight="1" x14ac:dyDescent="0.25">
      <c r="A73" s="319" t="s">
        <v>100</v>
      </c>
      <c r="B73" s="319"/>
      <c r="C73" s="319"/>
      <c r="D73" s="319"/>
      <c r="E73" s="319"/>
      <c r="F73" s="319"/>
      <c r="G73" s="319"/>
      <c r="H73" s="319"/>
      <c r="I73" s="319"/>
    </row>
    <row r="74" spans="1:9" x14ac:dyDescent="0.25">
      <c r="A74" s="315" t="s">
        <v>102</v>
      </c>
      <c r="B74" s="315"/>
      <c r="C74" s="315"/>
      <c r="D74" s="315"/>
      <c r="E74" s="315"/>
      <c r="F74" s="315"/>
      <c r="G74" s="315"/>
      <c r="H74" s="315"/>
      <c r="I74" s="315"/>
    </row>
    <row r="75" spans="1:9" x14ac:dyDescent="0.25">
      <c r="A75" s="320" t="s">
        <v>107</v>
      </c>
      <c r="B75" s="320"/>
      <c r="C75" s="320"/>
      <c r="D75" s="321"/>
      <c r="E75" s="322" t="s">
        <v>108</v>
      </c>
      <c r="F75" s="323"/>
      <c r="G75" s="323"/>
      <c r="H75" s="323"/>
      <c r="I75" s="323"/>
    </row>
    <row r="76" spans="1:9" x14ac:dyDescent="0.25">
      <c r="A76" s="320"/>
      <c r="B76" s="320"/>
      <c r="C76" s="320"/>
      <c r="D76" s="321"/>
      <c r="E76" s="322"/>
      <c r="F76" s="323"/>
      <c r="G76" s="323"/>
      <c r="H76" s="323"/>
      <c r="I76" s="323"/>
    </row>
    <row r="77" spans="1:9" x14ac:dyDescent="0.25">
      <c r="A77" s="320"/>
      <c r="B77" s="320"/>
      <c r="C77" s="320"/>
      <c r="D77" s="321"/>
      <c r="E77" s="38"/>
      <c r="I77" s="20"/>
    </row>
    <row r="78" spans="1:9" x14ac:dyDescent="0.25">
      <c r="A78" s="315" t="s">
        <v>101</v>
      </c>
      <c r="B78" s="315"/>
      <c r="C78" s="315"/>
      <c r="D78" s="315"/>
      <c r="E78" s="315"/>
      <c r="F78" s="315"/>
      <c r="G78" s="315"/>
      <c r="H78" s="315"/>
      <c r="I78" s="315"/>
    </row>
  </sheetData>
  <mergeCells count="59">
    <mergeCell ref="E1:I1"/>
    <mergeCell ref="E2:I2"/>
    <mergeCell ref="E4:I4"/>
    <mergeCell ref="A1:D1"/>
    <mergeCell ref="A2:D2"/>
    <mergeCell ref="A4:D4"/>
    <mergeCell ref="A5:I5"/>
    <mergeCell ref="A6:I6"/>
    <mergeCell ref="A7:I7"/>
    <mergeCell ref="B8:I8"/>
    <mergeCell ref="B9:E9"/>
    <mergeCell ref="F9:I9"/>
    <mergeCell ref="C16:E16"/>
    <mergeCell ref="B17:I17"/>
    <mergeCell ref="D19:E19"/>
    <mergeCell ref="C24:I24"/>
    <mergeCell ref="F13:I13"/>
    <mergeCell ref="C10:I10"/>
    <mergeCell ref="C11:I11"/>
    <mergeCell ref="C12:E12"/>
    <mergeCell ref="C14:I14"/>
    <mergeCell ref="C15:I15"/>
    <mergeCell ref="B38:C38"/>
    <mergeCell ref="C25:I25"/>
    <mergeCell ref="B26:F26"/>
    <mergeCell ref="B27:G27"/>
    <mergeCell ref="B28:I28"/>
    <mergeCell ref="B61:C61"/>
    <mergeCell ref="I50:I54"/>
    <mergeCell ref="B29:I29"/>
    <mergeCell ref="A30:A31"/>
    <mergeCell ref="B30:I30"/>
    <mergeCell ref="B31:C31"/>
    <mergeCell ref="B32:C32"/>
    <mergeCell ref="B33:C33"/>
    <mergeCell ref="B40:C40"/>
    <mergeCell ref="A42:A44"/>
    <mergeCell ref="B42:G42"/>
    <mergeCell ref="B43:G43"/>
    <mergeCell ref="B44:G44"/>
    <mergeCell ref="B34:C34"/>
    <mergeCell ref="B36:I36"/>
    <mergeCell ref="B37:C37"/>
    <mergeCell ref="B62:G62"/>
    <mergeCell ref="B39:C39"/>
    <mergeCell ref="A78:I78"/>
    <mergeCell ref="B46:G46"/>
    <mergeCell ref="F64:I64"/>
    <mergeCell ref="F65:I65"/>
    <mergeCell ref="F66:I66"/>
    <mergeCell ref="F72:I72"/>
    <mergeCell ref="C63:I63"/>
    <mergeCell ref="A73:I73"/>
    <mergeCell ref="A74:I74"/>
    <mergeCell ref="A75:D77"/>
    <mergeCell ref="E75:I76"/>
    <mergeCell ref="B58:G58"/>
    <mergeCell ref="B59:C59"/>
    <mergeCell ref="B60:C60"/>
  </mergeCells>
  <pageMargins left="0.19685039370078741" right="0.15748031496062992" top="0.19685039370078741" bottom="0.19685039370078741" header="0.19685039370078741" footer="0.15748031496062992"/>
  <pageSetup paperSize="9" scale="80" orientation="portrait"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81"/>
  <sheetViews>
    <sheetView topLeftCell="A22" workbookViewId="0">
      <selection activeCell="C25" sqref="C25:I25"/>
    </sheetView>
  </sheetViews>
  <sheetFormatPr defaultColWidth="9.140625" defaultRowHeight="16.5" x14ac:dyDescent="0.25"/>
  <cols>
    <col min="1" max="1" width="4.28515625" style="68" customWidth="1"/>
    <col min="2" max="2" width="27.28515625" style="20" customWidth="1"/>
    <col min="3" max="3" width="8.7109375" style="20" customWidth="1"/>
    <col min="4" max="4" width="24.28515625" style="20" customWidth="1"/>
    <col min="5" max="5" width="10.42578125" style="23" customWidth="1"/>
    <col min="6" max="6" width="12" style="20" customWidth="1"/>
    <col min="7" max="7" width="9.42578125" style="20" customWidth="1"/>
    <col min="8" max="8" width="12.42578125" style="20" customWidth="1"/>
    <col min="9" max="9" width="15.7109375" style="120" customWidth="1"/>
    <col min="10" max="10" width="12.28515625" style="20" customWidth="1"/>
    <col min="11" max="11" width="9.140625" style="20" customWidth="1"/>
    <col min="12" max="12" width="11.42578125" style="20" customWidth="1"/>
    <col min="13" max="19" width="9.140625" style="20" customWidth="1"/>
    <col min="20" max="16384" width="9.140625" style="20"/>
  </cols>
  <sheetData>
    <row r="1" spans="1:17" s="36" customFormat="1" x14ac:dyDescent="0.25">
      <c r="A1" s="368" t="s">
        <v>98</v>
      </c>
      <c r="B1" s="368"/>
      <c r="C1" s="368"/>
      <c r="D1" s="368"/>
      <c r="E1" s="368" t="s">
        <v>0</v>
      </c>
      <c r="F1" s="368"/>
      <c r="G1" s="368"/>
      <c r="H1" s="368"/>
      <c r="I1" s="368"/>
    </row>
    <row r="2" spans="1:17" s="36" customFormat="1" x14ac:dyDescent="0.25">
      <c r="A2" s="369" t="s">
        <v>99</v>
      </c>
      <c r="B2" s="369"/>
      <c r="C2" s="369"/>
      <c r="D2" s="369"/>
      <c r="E2" s="369" t="s">
        <v>1</v>
      </c>
      <c r="F2" s="368"/>
      <c r="G2" s="368"/>
      <c r="H2" s="368"/>
      <c r="I2" s="368"/>
    </row>
    <row r="3" spans="1:17" s="36" customFormat="1" ht="15.75" customHeight="1" x14ac:dyDescent="0.25">
      <c r="A3" s="39"/>
      <c r="C3" s="39"/>
      <c r="D3" s="39"/>
      <c r="E3" s="39"/>
      <c r="F3" s="39"/>
      <c r="G3" s="39"/>
      <c r="H3" s="39"/>
      <c r="I3" s="37"/>
    </row>
    <row r="4" spans="1:17" s="36" customFormat="1" x14ac:dyDescent="0.25">
      <c r="A4" s="369" t="s">
        <v>89</v>
      </c>
      <c r="B4" s="369"/>
      <c r="C4" s="369"/>
      <c r="E4" s="370" t="s">
        <v>143</v>
      </c>
      <c r="F4" s="370"/>
      <c r="G4" s="370"/>
      <c r="H4" s="370"/>
      <c r="I4" s="370"/>
    </row>
    <row r="5" spans="1:17" s="40" customFormat="1" ht="18.75" customHeight="1" x14ac:dyDescent="0.25">
      <c r="A5" s="371" t="s">
        <v>85</v>
      </c>
      <c r="B5" s="371"/>
      <c r="C5" s="371"/>
      <c r="D5" s="371"/>
      <c r="E5" s="371"/>
      <c r="F5" s="371"/>
      <c r="G5" s="371"/>
      <c r="H5" s="371"/>
      <c r="I5" s="371"/>
    </row>
    <row r="6" spans="1:17" s="40" customFormat="1" ht="42.75" customHeight="1" x14ac:dyDescent="0.25">
      <c r="A6" s="372" t="s">
        <v>86</v>
      </c>
      <c r="B6" s="372"/>
      <c r="C6" s="372"/>
      <c r="D6" s="372"/>
      <c r="E6" s="372"/>
      <c r="F6" s="372"/>
      <c r="G6" s="372"/>
      <c r="H6" s="372"/>
      <c r="I6" s="372"/>
      <c r="Q6" s="41"/>
    </row>
    <row r="7" spans="1:17" s="40" customFormat="1" ht="25.5" customHeight="1" x14ac:dyDescent="0.25">
      <c r="A7" s="373" t="s">
        <v>142</v>
      </c>
      <c r="B7" s="373"/>
      <c r="C7" s="373"/>
      <c r="D7" s="373"/>
      <c r="E7" s="373"/>
      <c r="F7" s="373"/>
      <c r="G7" s="373"/>
      <c r="H7" s="373"/>
      <c r="I7" s="373"/>
    </row>
    <row r="8" spans="1:17" s="42" customFormat="1" ht="19.899999999999999" customHeight="1" x14ac:dyDescent="0.25">
      <c r="A8" s="121" t="s">
        <v>2</v>
      </c>
      <c r="B8" s="362" t="s">
        <v>3</v>
      </c>
      <c r="C8" s="362"/>
      <c r="D8" s="362"/>
      <c r="E8" s="362"/>
      <c r="F8" s="362"/>
      <c r="G8" s="362"/>
      <c r="H8" s="362"/>
      <c r="I8" s="362"/>
    </row>
    <row r="9" spans="1:17" s="42" customFormat="1" ht="19.899999999999999" customHeight="1" x14ac:dyDescent="0.25">
      <c r="A9" s="121" t="s">
        <v>4</v>
      </c>
      <c r="B9" s="374" t="s">
        <v>5</v>
      </c>
      <c r="C9" s="374"/>
      <c r="D9" s="374"/>
      <c r="E9" s="374"/>
      <c r="F9" s="375" t="s">
        <v>224</v>
      </c>
      <c r="G9" s="375"/>
      <c r="H9" s="375"/>
      <c r="I9" s="375"/>
    </row>
    <row r="10" spans="1:17" s="42" customFormat="1" ht="20.100000000000001" customHeight="1" x14ac:dyDescent="0.25">
      <c r="A10" s="122"/>
      <c r="B10" s="24" t="s">
        <v>6</v>
      </c>
      <c r="C10" s="365" t="s">
        <v>225</v>
      </c>
      <c r="D10" s="365"/>
      <c r="E10" s="365"/>
      <c r="F10" s="365"/>
      <c r="G10" s="365"/>
      <c r="H10" s="365"/>
      <c r="I10" s="365"/>
    </row>
    <row r="11" spans="1:17" s="42" customFormat="1" ht="20.100000000000001" customHeight="1" x14ac:dyDescent="0.25">
      <c r="A11" s="122"/>
      <c r="B11" s="24" t="s">
        <v>7</v>
      </c>
      <c r="C11" s="365" t="str">
        <f>+C10</f>
        <v>Thôn Thanh Trì - xã Phú Nghĩa - TP Hà Nội</v>
      </c>
      <c r="D11" s="365"/>
      <c r="E11" s="365"/>
      <c r="F11" s="365"/>
      <c r="G11" s="365"/>
      <c r="H11" s="365"/>
      <c r="I11" s="365"/>
    </row>
    <row r="12" spans="1:17" s="42" customFormat="1" ht="20.100000000000001" customHeight="1" x14ac:dyDescent="0.25">
      <c r="A12" s="122"/>
      <c r="B12" s="24" t="s">
        <v>11</v>
      </c>
      <c r="C12" s="361" t="s">
        <v>248</v>
      </c>
      <c r="D12" s="361"/>
      <c r="E12" s="361"/>
      <c r="F12" s="43"/>
      <c r="G12" s="43"/>
      <c r="H12" s="43"/>
      <c r="I12" s="43"/>
    </row>
    <row r="13" spans="1:17" s="42" customFormat="1" ht="20.100000000000001" customHeight="1" x14ac:dyDescent="0.25">
      <c r="A13" s="121" t="s">
        <v>9</v>
      </c>
      <c r="B13" s="44" t="s">
        <v>10</v>
      </c>
      <c r="E13" s="43"/>
      <c r="F13" s="362" t="str">
        <f>F9</f>
        <v>Trần Đăng Định - Đỗ Thị Hạnh</v>
      </c>
      <c r="G13" s="362"/>
      <c r="H13" s="362"/>
      <c r="I13" s="362"/>
      <c r="J13" s="45"/>
    </row>
    <row r="14" spans="1:17" s="42" customFormat="1" ht="20.100000000000001" customHeight="1" x14ac:dyDescent="0.25">
      <c r="A14" s="122"/>
      <c r="B14" s="24" t="s">
        <v>6</v>
      </c>
      <c r="C14" s="365" t="str">
        <f>+C10</f>
        <v>Thôn Thanh Trì - xã Phú Nghĩa - TP Hà Nội</v>
      </c>
      <c r="D14" s="365"/>
      <c r="E14" s="365"/>
      <c r="F14" s="365"/>
      <c r="G14" s="365"/>
      <c r="H14" s="365"/>
      <c r="I14" s="365"/>
    </row>
    <row r="15" spans="1:17" s="42" customFormat="1" ht="20.100000000000001" customHeight="1" x14ac:dyDescent="0.25">
      <c r="A15" s="122"/>
      <c r="B15" s="24" t="s">
        <v>7</v>
      </c>
      <c r="C15" s="365" t="str">
        <f>+C14</f>
        <v>Thôn Thanh Trì - xã Phú Nghĩa - TP Hà Nội</v>
      </c>
      <c r="D15" s="365"/>
      <c r="E15" s="365"/>
      <c r="F15" s="365"/>
      <c r="G15" s="365"/>
      <c r="H15" s="365"/>
      <c r="I15" s="365"/>
    </row>
    <row r="16" spans="1:17" s="42" customFormat="1" ht="20.100000000000001" customHeight="1" x14ac:dyDescent="0.25">
      <c r="A16" s="122"/>
      <c r="B16" s="24" t="s">
        <v>11</v>
      </c>
      <c r="C16" s="361" t="str">
        <f>+C12</f>
        <v>001081009370</v>
      </c>
      <c r="D16" s="361"/>
      <c r="E16" s="361"/>
      <c r="F16" s="43"/>
      <c r="G16" s="43"/>
      <c r="H16" s="43"/>
      <c r="I16" s="43"/>
    </row>
    <row r="17" spans="1:19" s="42" customFormat="1" ht="20.100000000000001" customHeight="1" x14ac:dyDescent="0.25">
      <c r="A17" s="121" t="s">
        <v>12</v>
      </c>
      <c r="B17" s="362" t="s">
        <v>13</v>
      </c>
      <c r="C17" s="362"/>
      <c r="D17" s="362"/>
      <c r="E17" s="362"/>
      <c r="F17" s="362"/>
      <c r="G17" s="362"/>
      <c r="H17" s="362"/>
      <c r="I17" s="362"/>
    </row>
    <row r="18" spans="1:19" s="42" customFormat="1" ht="20.100000000000001" customHeight="1" x14ac:dyDescent="0.25">
      <c r="A18" s="121" t="s">
        <v>4</v>
      </c>
      <c r="B18" s="46" t="s">
        <v>14</v>
      </c>
      <c r="E18" s="43"/>
    </row>
    <row r="19" spans="1:19" s="51" customFormat="1" ht="20.100000000000001" customHeight="1" x14ac:dyDescent="0.25">
      <c r="A19" s="123"/>
      <c r="B19" s="47" t="s">
        <v>15</v>
      </c>
      <c r="C19" s="144">
        <v>53</v>
      </c>
      <c r="D19" s="363" t="s">
        <v>16</v>
      </c>
      <c r="E19" s="363"/>
      <c r="F19" s="49" t="s">
        <v>119</v>
      </c>
      <c r="G19" s="50"/>
      <c r="I19" s="50"/>
    </row>
    <row r="20" spans="1:19" s="51" customFormat="1" ht="20.100000000000001" customHeight="1" x14ac:dyDescent="0.25">
      <c r="A20" s="123"/>
      <c r="B20" s="47" t="s">
        <v>17</v>
      </c>
      <c r="C20" s="52">
        <v>92.6</v>
      </c>
      <c r="D20" s="50" t="s">
        <v>105</v>
      </c>
      <c r="E20" s="53"/>
      <c r="F20" s="54"/>
      <c r="H20" s="55"/>
      <c r="I20" s="50"/>
    </row>
    <row r="21" spans="1:19" s="51" customFormat="1" ht="20.100000000000001" customHeight="1" x14ac:dyDescent="0.25">
      <c r="A21" s="123"/>
      <c r="B21" s="56" t="s">
        <v>18</v>
      </c>
      <c r="C21" s="57"/>
      <c r="D21" s="50"/>
      <c r="E21" s="53"/>
      <c r="F21" s="50"/>
      <c r="H21" s="55"/>
      <c r="I21" s="50"/>
    </row>
    <row r="22" spans="1:19" s="51" customFormat="1" ht="20.100000000000001" customHeight="1" x14ac:dyDescent="0.25">
      <c r="A22" s="123"/>
      <c r="B22" s="47" t="s">
        <v>19</v>
      </c>
      <c r="C22" s="52">
        <v>92.6</v>
      </c>
      <c r="D22" s="50" t="s">
        <v>105</v>
      </c>
      <c r="E22" s="53"/>
      <c r="F22" s="50"/>
      <c r="H22" s="55"/>
      <c r="I22" s="50"/>
    </row>
    <row r="23" spans="1:19" s="51" customFormat="1" ht="20.100000000000001" customHeight="1" x14ac:dyDescent="0.25">
      <c r="A23" s="123"/>
      <c r="B23" s="47" t="s">
        <v>20</v>
      </c>
      <c r="C23" s="57">
        <f>C20-C22</f>
        <v>0</v>
      </c>
      <c r="D23" s="50" t="s">
        <v>105</v>
      </c>
      <c r="E23" s="53"/>
      <c r="F23" s="50"/>
      <c r="H23" s="55"/>
      <c r="I23" s="50"/>
    </row>
    <row r="24" spans="1:19" s="42" customFormat="1" ht="20.100000000000001" customHeight="1" x14ac:dyDescent="0.25">
      <c r="A24" s="122"/>
      <c r="B24" s="24" t="s">
        <v>21</v>
      </c>
      <c r="C24" s="362" t="s">
        <v>226</v>
      </c>
      <c r="D24" s="362"/>
      <c r="E24" s="362"/>
      <c r="F24" s="362"/>
      <c r="G24" s="362"/>
      <c r="H24" s="362"/>
      <c r="I24" s="362"/>
    </row>
    <row r="25" spans="1:19" s="36" customFormat="1" ht="290.25" customHeight="1" x14ac:dyDescent="0.25">
      <c r="A25" s="39" t="s">
        <v>23</v>
      </c>
      <c r="B25" s="58" t="s">
        <v>73</v>
      </c>
      <c r="C25" s="366" t="s">
        <v>568</v>
      </c>
      <c r="D25" s="367"/>
      <c r="E25" s="367"/>
      <c r="F25" s="367"/>
      <c r="G25" s="367"/>
      <c r="H25" s="367"/>
      <c r="I25" s="367"/>
      <c r="J25" s="133"/>
      <c r="K25" s="243"/>
      <c r="L25" s="59"/>
      <c r="M25" s="59"/>
      <c r="N25" s="59"/>
      <c r="O25" s="59"/>
      <c r="P25" s="59"/>
      <c r="Q25" s="59"/>
      <c r="R25" s="59"/>
      <c r="S25" s="59"/>
    </row>
    <row r="26" spans="1:19" s="36" customFormat="1" ht="21" customHeight="1" x14ac:dyDescent="0.25">
      <c r="A26" s="39" t="s">
        <v>81</v>
      </c>
      <c r="B26" s="364" t="s">
        <v>82</v>
      </c>
      <c r="C26" s="364"/>
      <c r="D26" s="364"/>
      <c r="E26" s="364"/>
      <c r="F26" s="364"/>
      <c r="G26" s="60"/>
      <c r="H26" s="149" t="s">
        <v>112</v>
      </c>
      <c r="I26" s="60" t="s">
        <v>55</v>
      </c>
      <c r="J26" s="142"/>
      <c r="K26" s="142"/>
      <c r="L26" s="59"/>
      <c r="M26" s="59"/>
      <c r="N26" s="59"/>
      <c r="O26" s="59"/>
      <c r="P26" s="59"/>
      <c r="Q26" s="59"/>
      <c r="R26" s="59"/>
      <c r="S26" s="59"/>
    </row>
    <row r="27" spans="1:19" s="36" customFormat="1" ht="23.25" customHeight="1" x14ac:dyDescent="0.25">
      <c r="A27" s="39" t="s">
        <v>83</v>
      </c>
      <c r="B27" s="364" t="s">
        <v>65</v>
      </c>
      <c r="C27" s="364"/>
      <c r="D27" s="364"/>
      <c r="E27" s="364"/>
      <c r="F27" s="364"/>
      <c r="G27" s="364"/>
      <c r="H27" s="148" t="s">
        <v>119</v>
      </c>
      <c r="I27" s="60" t="s">
        <v>84</v>
      </c>
      <c r="J27" s="59"/>
      <c r="K27" s="59"/>
      <c r="L27" s="59"/>
      <c r="M27" s="59"/>
      <c r="N27" s="59"/>
      <c r="O27" s="59"/>
      <c r="P27" s="59"/>
      <c r="Q27" s="59"/>
      <c r="R27" s="59"/>
      <c r="S27" s="59"/>
    </row>
    <row r="28" spans="1:19" s="41" customFormat="1" x14ac:dyDescent="0.25">
      <c r="A28" s="39" t="s">
        <v>88</v>
      </c>
      <c r="B28" s="364" t="s">
        <v>87</v>
      </c>
      <c r="C28" s="364"/>
      <c r="D28" s="364"/>
      <c r="E28" s="364"/>
      <c r="F28" s="364"/>
      <c r="G28" s="364"/>
      <c r="H28" s="364"/>
      <c r="I28" s="364"/>
    </row>
    <row r="29" spans="1:19" s="40" customFormat="1" x14ac:dyDescent="0.25">
      <c r="A29" s="39" t="s">
        <v>4</v>
      </c>
      <c r="B29" s="360" t="s">
        <v>24</v>
      </c>
      <c r="C29" s="360"/>
      <c r="D29" s="360"/>
      <c r="E29" s="360"/>
      <c r="F29" s="360"/>
      <c r="G29" s="360"/>
      <c r="H29" s="360"/>
      <c r="I29" s="360"/>
      <c r="J29" s="41"/>
      <c r="K29" s="41"/>
      <c r="L29" s="41"/>
      <c r="M29" s="41"/>
      <c r="N29" s="41"/>
      <c r="O29" s="41"/>
      <c r="P29" s="41"/>
      <c r="Q29" s="41"/>
      <c r="R29" s="41"/>
      <c r="S29" s="41"/>
    </row>
    <row r="30" spans="1:19" s="24" customFormat="1" ht="32.25" customHeight="1" x14ac:dyDescent="0.25">
      <c r="A30" s="351" t="s">
        <v>25</v>
      </c>
      <c r="B30" s="353" t="s">
        <v>26</v>
      </c>
      <c r="C30" s="354"/>
      <c r="D30" s="354"/>
      <c r="E30" s="354"/>
      <c r="F30" s="354"/>
      <c r="G30" s="354"/>
      <c r="H30" s="354"/>
      <c r="I30" s="355"/>
    </row>
    <row r="31" spans="1:19" s="25" customFormat="1" ht="49.5" x14ac:dyDescent="0.25">
      <c r="A31" s="352"/>
      <c r="B31" s="353" t="s">
        <v>27</v>
      </c>
      <c r="C31" s="355"/>
      <c r="D31" s="21" t="s">
        <v>28</v>
      </c>
      <c r="E31" s="22" t="s">
        <v>29</v>
      </c>
      <c r="F31" s="22" t="s">
        <v>30</v>
      </c>
      <c r="G31" s="21" t="s">
        <v>31</v>
      </c>
      <c r="H31" s="22" t="s">
        <v>114</v>
      </c>
      <c r="I31" s="22" t="s">
        <v>33</v>
      </c>
    </row>
    <row r="32" spans="1:19" s="62" customFormat="1" ht="18.75" customHeight="1" x14ac:dyDescent="0.25">
      <c r="A32" s="61">
        <v>1</v>
      </c>
      <c r="B32" s="356">
        <v>2</v>
      </c>
      <c r="C32" s="357"/>
      <c r="D32" s="61">
        <v>3</v>
      </c>
      <c r="E32" s="61">
        <v>4</v>
      </c>
      <c r="F32" s="61">
        <v>5</v>
      </c>
      <c r="G32" s="61">
        <v>6</v>
      </c>
      <c r="H32" s="61">
        <v>7</v>
      </c>
      <c r="I32" s="61">
        <v>8</v>
      </c>
    </row>
    <row r="33" spans="1:9" s="68" customFormat="1" ht="34.5" customHeight="1" x14ac:dyDescent="0.25">
      <c r="A33" s="63">
        <v>1</v>
      </c>
      <c r="B33" s="358" t="s">
        <v>563</v>
      </c>
      <c r="C33" s="359"/>
      <c r="D33" s="64" t="s">
        <v>106</v>
      </c>
      <c r="E33" s="65">
        <f>C22</f>
        <v>92.6</v>
      </c>
      <c r="F33" s="63"/>
      <c r="G33" s="66"/>
      <c r="H33" s="166">
        <f>E33*F33*G33</f>
        <v>0</v>
      </c>
      <c r="I33" s="67"/>
    </row>
    <row r="34" spans="1:9" s="71" customFormat="1" ht="30.75" customHeight="1" x14ac:dyDescent="0.25">
      <c r="A34" s="69"/>
      <c r="B34" s="349" t="s">
        <v>34</v>
      </c>
      <c r="C34" s="350"/>
      <c r="D34" s="69"/>
      <c r="E34" s="69"/>
      <c r="F34" s="69"/>
      <c r="G34" s="69"/>
      <c r="H34" s="169">
        <f>SUM(H33:H33)</f>
        <v>0</v>
      </c>
      <c r="I34" s="69"/>
    </row>
    <row r="35" spans="1:9" ht="11.25" customHeight="1" x14ac:dyDescent="0.25">
      <c r="A35" s="77"/>
      <c r="B35" s="72"/>
      <c r="C35" s="72"/>
      <c r="D35" s="73"/>
      <c r="E35" s="73"/>
      <c r="F35" s="73"/>
      <c r="G35" s="73"/>
      <c r="H35" s="73"/>
      <c r="I35" s="73"/>
    </row>
    <row r="36" spans="1:9" x14ac:dyDescent="0.25">
      <c r="A36" s="75" t="s">
        <v>9</v>
      </c>
      <c r="B36" s="360" t="s">
        <v>35</v>
      </c>
      <c r="C36" s="360"/>
      <c r="D36" s="360"/>
      <c r="E36" s="360"/>
      <c r="F36" s="360"/>
      <c r="G36" s="360"/>
      <c r="H36" s="360"/>
      <c r="I36" s="360"/>
    </row>
    <row r="37" spans="1:9" s="23" customFormat="1" ht="49.5" x14ac:dyDescent="0.25">
      <c r="A37" s="29" t="s">
        <v>25</v>
      </c>
      <c r="B37" s="353" t="s">
        <v>27</v>
      </c>
      <c r="C37" s="355"/>
      <c r="D37" s="21" t="s">
        <v>28</v>
      </c>
      <c r="E37" s="22" t="s">
        <v>29</v>
      </c>
      <c r="F37" s="22" t="s">
        <v>30</v>
      </c>
      <c r="G37" s="21" t="s">
        <v>31</v>
      </c>
      <c r="H37" s="22" t="s">
        <v>32</v>
      </c>
      <c r="I37" s="22" t="s">
        <v>33</v>
      </c>
    </row>
    <row r="38" spans="1:9" s="62" customFormat="1" ht="18" customHeight="1" x14ac:dyDescent="0.25">
      <c r="A38" s="61">
        <v>1</v>
      </c>
      <c r="B38" s="356">
        <v>2</v>
      </c>
      <c r="C38" s="357"/>
      <c r="D38" s="61">
        <v>3</v>
      </c>
      <c r="E38" s="61">
        <v>4</v>
      </c>
      <c r="F38" s="61">
        <v>5</v>
      </c>
      <c r="G38" s="61">
        <v>6</v>
      </c>
      <c r="H38" s="61">
        <v>7</v>
      </c>
      <c r="I38" s="61">
        <v>8</v>
      </c>
    </row>
    <row r="39" spans="1:9" ht="31.5" customHeight="1" x14ac:dyDescent="0.25">
      <c r="A39" s="26">
        <v>1</v>
      </c>
      <c r="B39" s="353"/>
      <c r="C39" s="355"/>
      <c r="D39" s="27"/>
      <c r="E39" s="22"/>
      <c r="F39" s="27"/>
      <c r="G39" s="27"/>
      <c r="H39" s="27"/>
      <c r="I39" s="26" t="s">
        <v>36</v>
      </c>
    </row>
    <row r="40" spans="1:9" s="71" customFormat="1" ht="25.5" customHeight="1" x14ac:dyDescent="0.25">
      <c r="A40" s="69"/>
      <c r="B40" s="349" t="s">
        <v>34</v>
      </c>
      <c r="C40" s="350"/>
      <c r="D40" s="74"/>
      <c r="E40" s="69"/>
      <c r="F40" s="74"/>
      <c r="G40" s="74"/>
      <c r="H40" s="74"/>
      <c r="I40" s="69"/>
    </row>
    <row r="41" spans="1:9" ht="10.5" customHeight="1" x14ac:dyDescent="0.25">
      <c r="A41" s="124"/>
      <c r="B41" s="75"/>
      <c r="C41" s="75"/>
      <c r="D41" s="76"/>
      <c r="E41" s="75"/>
      <c r="F41" s="76"/>
      <c r="G41" s="76"/>
      <c r="H41" s="76"/>
      <c r="I41" s="75"/>
    </row>
    <row r="42" spans="1:9" x14ac:dyDescent="0.25">
      <c r="A42" s="324"/>
      <c r="B42" s="327" t="s">
        <v>37</v>
      </c>
      <c r="C42" s="328"/>
      <c r="D42" s="328"/>
      <c r="E42" s="328"/>
      <c r="F42" s="328"/>
      <c r="G42" s="329"/>
      <c r="H42" s="27"/>
      <c r="I42" s="26" t="s">
        <v>74</v>
      </c>
    </row>
    <row r="43" spans="1:9" x14ac:dyDescent="0.25">
      <c r="A43" s="325"/>
      <c r="B43" s="330" t="s">
        <v>38</v>
      </c>
      <c r="C43" s="331"/>
      <c r="D43" s="331"/>
      <c r="E43" s="331"/>
      <c r="F43" s="331"/>
      <c r="G43" s="332"/>
      <c r="H43" s="27"/>
      <c r="I43" s="26" t="s">
        <v>74</v>
      </c>
    </row>
    <row r="44" spans="1:9" x14ac:dyDescent="0.25">
      <c r="A44" s="326"/>
      <c r="B44" s="333" t="s">
        <v>39</v>
      </c>
      <c r="C44" s="334"/>
      <c r="D44" s="334"/>
      <c r="E44" s="334"/>
      <c r="F44" s="334"/>
      <c r="G44" s="335"/>
      <c r="H44" s="27"/>
      <c r="I44" s="26" t="s">
        <v>74</v>
      </c>
    </row>
    <row r="45" spans="1:9" ht="8.25" customHeight="1" x14ac:dyDescent="0.25">
      <c r="A45" s="77"/>
      <c r="B45" s="72"/>
      <c r="C45" s="72"/>
      <c r="D45" s="72"/>
      <c r="E45" s="78"/>
      <c r="F45" s="72"/>
      <c r="G45" s="72"/>
      <c r="H45" s="79"/>
      <c r="I45" s="79"/>
    </row>
    <row r="46" spans="1:9" ht="14.25" customHeight="1" x14ac:dyDescent="0.25">
      <c r="A46" s="125" t="s">
        <v>22</v>
      </c>
      <c r="B46" s="376" t="s">
        <v>40</v>
      </c>
      <c r="C46" s="376"/>
      <c r="D46" s="376"/>
      <c r="E46" s="376"/>
      <c r="F46" s="376"/>
      <c r="G46" s="376"/>
      <c r="H46" s="80"/>
      <c r="I46" s="81"/>
    </row>
    <row r="47" spans="1:9" s="30" customFormat="1" ht="49.5" x14ac:dyDescent="0.25">
      <c r="A47" s="21" t="s">
        <v>25</v>
      </c>
      <c r="B47" s="21" t="s">
        <v>41</v>
      </c>
      <c r="C47" s="21" t="s">
        <v>28</v>
      </c>
      <c r="D47" s="21" t="s">
        <v>42</v>
      </c>
      <c r="E47" s="21" t="s">
        <v>43</v>
      </c>
      <c r="F47" s="21" t="s">
        <v>44</v>
      </c>
      <c r="G47" s="21" t="s">
        <v>31</v>
      </c>
      <c r="H47" s="21" t="s">
        <v>45</v>
      </c>
      <c r="I47" s="21" t="s">
        <v>33</v>
      </c>
    </row>
    <row r="48" spans="1:9" s="83" customFormat="1" ht="18" customHeight="1" x14ac:dyDescent="0.25">
      <c r="A48" s="82">
        <v>1</v>
      </c>
      <c r="B48" s="82">
        <v>2</v>
      </c>
      <c r="C48" s="82">
        <v>3</v>
      </c>
      <c r="D48" s="82">
        <v>4</v>
      </c>
      <c r="E48" s="82">
        <v>5</v>
      </c>
      <c r="F48" s="82">
        <v>6</v>
      </c>
      <c r="G48" s="82">
        <v>7</v>
      </c>
      <c r="H48" s="82">
        <v>8</v>
      </c>
      <c r="I48" s="82">
        <v>9</v>
      </c>
    </row>
    <row r="49" spans="1:12" s="89" customFormat="1" ht="30" customHeight="1" x14ac:dyDescent="0.25">
      <c r="A49" s="21" t="s">
        <v>46</v>
      </c>
      <c r="B49" s="84" t="s">
        <v>47</v>
      </c>
      <c r="C49" s="85"/>
      <c r="D49" s="85"/>
      <c r="E49" s="86"/>
      <c r="F49" s="85"/>
      <c r="G49" s="85"/>
      <c r="H49" s="157">
        <f>SUM(H50:H50)</f>
        <v>0</v>
      </c>
      <c r="I49" s="88"/>
    </row>
    <row r="50" spans="1:12" s="89" customFormat="1" ht="23.25" customHeight="1" x14ac:dyDescent="0.25">
      <c r="A50" s="90">
        <v>1</v>
      </c>
      <c r="B50" s="91" t="s">
        <v>90</v>
      </c>
      <c r="C50" s="64" t="s">
        <v>106</v>
      </c>
      <c r="D50" s="90" t="s">
        <v>227</v>
      </c>
      <c r="E50" s="92">
        <f>6.3*10.42</f>
        <v>65.646000000000001</v>
      </c>
      <c r="F50" s="93"/>
      <c r="G50" s="93"/>
      <c r="H50" s="183"/>
      <c r="I50" s="347" t="s">
        <v>110</v>
      </c>
    </row>
    <row r="51" spans="1:12" s="89" customFormat="1" ht="24.75" customHeight="1" x14ac:dyDescent="0.25">
      <c r="A51" s="90">
        <v>2</v>
      </c>
      <c r="B51" s="91" t="s">
        <v>96</v>
      </c>
      <c r="C51" s="64" t="s">
        <v>106</v>
      </c>
      <c r="D51" s="90" t="s">
        <v>228</v>
      </c>
      <c r="E51" s="92">
        <f>0.5*10.42</f>
        <v>5.21</v>
      </c>
      <c r="F51" s="93"/>
      <c r="G51" s="93"/>
      <c r="H51" s="183"/>
      <c r="I51" s="348"/>
    </row>
    <row r="52" spans="1:12" s="89" customFormat="1" ht="70.5" customHeight="1" x14ac:dyDescent="0.25">
      <c r="A52" s="90">
        <v>3</v>
      </c>
      <c r="B52" s="91" t="s">
        <v>229</v>
      </c>
      <c r="C52" s="64" t="s">
        <v>106</v>
      </c>
      <c r="D52" s="96" t="s">
        <v>230</v>
      </c>
      <c r="E52" s="245">
        <v>44.38</v>
      </c>
      <c r="F52" s="93"/>
      <c r="G52" s="93"/>
      <c r="H52" s="183"/>
      <c r="I52" s="348"/>
    </row>
    <row r="53" spans="1:12" s="89" customFormat="1" ht="26.25" customHeight="1" x14ac:dyDescent="0.25">
      <c r="A53" s="90">
        <v>4</v>
      </c>
      <c r="B53" s="132" t="s">
        <v>134</v>
      </c>
      <c r="C53" s="64" t="s">
        <v>106</v>
      </c>
      <c r="D53" s="96" t="s">
        <v>145</v>
      </c>
      <c r="E53" s="245">
        <f>E52</f>
        <v>44.38</v>
      </c>
      <c r="F53" s="93"/>
      <c r="G53" s="93"/>
      <c r="H53" s="183"/>
      <c r="I53" s="348"/>
    </row>
    <row r="54" spans="1:12" s="89" customFormat="1" ht="25.5" customHeight="1" x14ac:dyDescent="0.25">
      <c r="A54" s="90">
        <v>5</v>
      </c>
      <c r="B54" s="132" t="s">
        <v>231</v>
      </c>
      <c r="C54" s="64" t="s">
        <v>106</v>
      </c>
      <c r="D54" s="96" t="s">
        <v>232</v>
      </c>
      <c r="E54" s="245">
        <f>5*5.23</f>
        <v>26.150000000000002</v>
      </c>
      <c r="F54" s="93"/>
      <c r="G54" s="93"/>
      <c r="H54" s="183"/>
      <c r="I54" s="348"/>
    </row>
    <row r="55" spans="1:12" s="89" customFormat="1" ht="67.900000000000006" customHeight="1" x14ac:dyDescent="0.25">
      <c r="A55" s="90">
        <v>6</v>
      </c>
      <c r="B55" s="132" t="s">
        <v>369</v>
      </c>
      <c r="C55" s="64" t="s">
        <v>106</v>
      </c>
      <c r="D55" s="96" t="s">
        <v>370</v>
      </c>
      <c r="E55" s="245">
        <f>C22-E52</f>
        <v>48.219999999999992</v>
      </c>
      <c r="F55" s="93"/>
      <c r="G55" s="93"/>
      <c r="H55" s="183"/>
      <c r="I55" s="348"/>
    </row>
    <row r="56" spans="1:12" s="89" customFormat="1" ht="27" customHeight="1" x14ac:dyDescent="0.25">
      <c r="A56" s="90">
        <v>7</v>
      </c>
      <c r="B56" s="132" t="s">
        <v>95</v>
      </c>
      <c r="C56" s="64" t="s">
        <v>92</v>
      </c>
      <c r="D56" s="96" t="s">
        <v>163</v>
      </c>
      <c r="E56" s="245">
        <v>8.5</v>
      </c>
      <c r="F56" s="93"/>
      <c r="G56" s="93"/>
      <c r="H56" s="183"/>
      <c r="I56" s="348"/>
    </row>
    <row r="57" spans="1:12" s="89" customFormat="1" ht="25.5" customHeight="1" x14ac:dyDescent="0.25">
      <c r="A57" s="21" t="s">
        <v>48</v>
      </c>
      <c r="B57" s="84" t="s">
        <v>49</v>
      </c>
      <c r="C57" s="85"/>
      <c r="D57" s="85"/>
      <c r="E57" s="92"/>
      <c r="F57" s="85"/>
      <c r="G57" s="85"/>
      <c r="H57" s="157">
        <f>SUM(H59:H59)</f>
        <v>0</v>
      </c>
      <c r="I57" s="95"/>
    </row>
    <row r="58" spans="1:12" s="89" customFormat="1" ht="36" customHeight="1" x14ac:dyDescent="0.25">
      <c r="A58" s="90">
        <v>1</v>
      </c>
      <c r="B58" s="91" t="s">
        <v>233</v>
      </c>
      <c r="C58" s="93" t="s">
        <v>144</v>
      </c>
      <c r="D58" s="90" t="s">
        <v>234</v>
      </c>
      <c r="E58" s="92">
        <v>1</v>
      </c>
      <c r="F58" s="97"/>
      <c r="G58" s="98"/>
      <c r="H58" s="184"/>
      <c r="I58" s="377" t="s">
        <v>110</v>
      </c>
    </row>
    <row r="59" spans="1:12" s="89" customFormat="1" ht="33" customHeight="1" x14ac:dyDescent="0.25">
      <c r="A59" s="90">
        <v>2</v>
      </c>
      <c r="B59" s="91" t="s">
        <v>235</v>
      </c>
      <c r="C59" s="93" t="s">
        <v>144</v>
      </c>
      <c r="D59" s="90" t="s">
        <v>236</v>
      </c>
      <c r="E59" s="92">
        <v>1</v>
      </c>
      <c r="F59" s="97"/>
      <c r="G59" s="98"/>
      <c r="H59" s="184"/>
      <c r="I59" s="383"/>
    </row>
    <row r="60" spans="1:12" s="102" customFormat="1" ht="27" customHeight="1" x14ac:dyDescent="0.25">
      <c r="A60" s="126"/>
      <c r="B60" s="100" t="s">
        <v>50</v>
      </c>
      <c r="C60" s="100"/>
      <c r="D60" s="100"/>
      <c r="E60" s="100"/>
      <c r="F60" s="100"/>
      <c r="G60" s="100"/>
      <c r="H60" s="158">
        <f>H49+H57</f>
        <v>0</v>
      </c>
      <c r="I60" s="101"/>
    </row>
    <row r="61" spans="1:12" ht="22.5" customHeight="1" x14ac:dyDescent="0.25">
      <c r="A61" s="127">
        <v>4</v>
      </c>
      <c r="B61" s="337" t="s">
        <v>51</v>
      </c>
      <c r="C61" s="337"/>
      <c r="D61" s="337"/>
      <c r="E61" s="337"/>
      <c r="F61" s="337"/>
      <c r="G61" s="337"/>
      <c r="H61" s="51"/>
      <c r="I61" s="51"/>
    </row>
    <row r="62" spans="1:12" s="104" customFormat="1" ht="49.5" x14ac:dyDescent="0.25">
      <c r="A62" s="103" t="s">
        <v>25</v>
      </c>
      <c r="B62" s="338" t="s">
        <v>52</v>
      </c>
      <c r="C62" s="339"/>
      <c r="D62" s="21" t="s">
        <v>29</v>
      </c>
      <c r="E62" s="21" t="s">
        <v>53</v>
      </c>
      <c r="F62" s="21" t="s">
        <v>44</v>
      </c>
      <c r="G62" s="21" t="s">
        <v>54</v>
      </c>
      <c r="H62" s="21" t="s">
        <v>45</v>
      </c>
      <c r="I62" s="21" t="s">
        <v>33</v>
      </c>
    </row>
    <row r="63" spans="1:12" ht="24" customHeight="1" x14ac:dyDescent="0.25">
      <c r="A63" s="105"/>
      <c r="B63" s="340"/>
      <c r="C63" s="341"/>
      <c r="D63" s="106"/>
      <c r="E63" s="105"/>
      <c r="F63" s="107"/>
      <c r="G63" s="108"/>
      <c r="H63" s="176"/>
      <c r="I63" s="109"/>
      <c r="L63" s="110"/>
    </row>
    <row r="64" spans="1:12" s="112" customFormat="1" ht="23.25" customHeight="1" x14ac:dyDescent="0.25">
      <c r="A64" s="126"/>
      <c r="B64" s="342" t="s">
        <v>34</v>
      </c>
      <c r="C64" s="343"/>
      <c r="D64" s="100"/>
      <c r="E64" s="100"/>
      <c r="F64" s="100"/>
      <c r="G64" s="100"/>
      <c r="H64" s="163">
        <f>SUM(H63)</f>
        <v>0</v>
      </c>
      <c r="I64" s="111"/>
      <c r="L64" s="113"/>
    </row>
    <row r="65" spans="1:9" s="115" customFormat="1" ht="27.75" customHeight="1" x14ac:dyDescent="0.25">
      <c r="A65" s="128">
        <v>5</v>
      </c>
      <c r="B65" s="344" t="s">
        <v>56</v>
      </c>
      <c r="C65" s="344"/>
      <c r="D65" s="344"/>
      <c r="E65" s="344"/>
      <c r="F65" s="344"/>
      <c r="G65" s="345"/>
      <c r="H65" s="164">
        <f>H64+H60+H40+H34</f>
        <v>0</v>
      </c>
      <c r="I65" s="114" t="s">
        <v>57</v>
      </c>
    </row>
    <row r="66" spans="1:9" s="117" customFormat="1" ht="17.25" x14ac:dyDescent="0.25">
      <c r="A66" s="129"/>
      <c r="B66" s="116" t="s">
        <v>78</v>
      </c>
      <c r="C66" s="346" t="s">
        <v>91</v>
      </c>
      <c r="D66" s="346"/>
      <c r="E66" s="346"/>
      <c r="F66" s="346"/>
      <c r="G66" s="346"/>
      <c r="H66" s="346"/>
      <c r="I66" s="346"/>
    </row>
    <row r="67" spans="1:9" s="41" customFormat="1" ht="17.25" hidden="1" x14ac:dyDescent="0.3">
      <c r="A67" s="39"/>
      <c r="B67" s="118"/>
      <c r="E67" s="119"/>
      <c r="F67" s="316" t="s">
        <v>75</v>
      </c>
      <c r="G67" s="316"/>
      <c r="H67" s="316"/>
      <c r="I67" s="316"/>
    </row>
    <row r="68" spans="1:9" hidden="1" x14ac:dyDescent="0.25">
      <c r="F68" s="316" t="s">
        <v>76</v>
      </c>
      <c r="G68" s="316"/>
      <c r="H68" s="316"/>
      <c r="I68" s="316"/>
    </row>
    <row r="69" spans="1:9" hidden="1" x14ac:dyDescent="0.25">
      <c r="F69" s="317"/>
      <c r="G69" s="317"/>
      <c r="H69" s="317"/>
      <c r="I69" s="317"/>
    </row>
    <row r="70" spans="1:9" hidden="1" x14ac:dyDescent="0.25"/>
    <row r="71" spans="1:9" hidden="1" x14ac:dyDescent="0.25"/>
    <row r="72" spans="1:9" hidden="1" x14ac:dyDescent="0.25"/>
    <row r="73" spans="1:9" hidden="1" x14ac:dyDescent="0.25"/>
    <row r="74" spans="1:9" hidden="1" x14ac:dyDescent="0.25"/>
    <row r="75" spans="1:9" hidden="1" x14ac:dyDescent="0.25">
      <c r="F75" s="318" t="s">
        <v>77</v>
      </c>
      <c r="G75" s="318"/>
      <c r="H75" s="318"/>
      <c r="I75" s="318"/>
    </row>
    <row r="76" spans="1:9" ht="63" customHeight="1" x14ac:dyDescent="0.25">
      <c r="A76" s="319" t="s">
        <v>100</v>
      </c>
      <c r="B76" s="319"/>
      <c r="C76" s="319"/>
      <c r="D76" s="319"/>
      <c r="E76" s="319"/>
      <c r="F76" s="319"/>
      <c r="G76" s="319"/>
      <c r="H76" s="319"/>
      <c r="I76" s="319"/>
    </row>
    <row r="77" spans="1:9" x14ac:dyDescent="0.25">
      <c r="A77" s="315" t="s">
        <v>102</v>
      </c>
      <c r="B77" s="315"/>
      <c r="C77" s="315"/>
      <c r="D77" s="315"/>
      <c r="E77" s="315"/>
      <c r="F77" s="315"/>
      <c r="G77" s="315"/>
      <c r="H77" s="315"/>
      <c r="I77" s="315"/>
    </row>
    <row r="78" spans="1:9" x14ac:dyDescent="0.25">
      <c r="A78" s="320" t="s">
        <v>107</v>
      </c>
      <c r="B78" s="320"/>
      <c r="C78" s="320"/>
      <c r="D78" s="321"/>
      <c r="E78" s="322" t="s">
        <v>108</v>
      </c>
      <c r="F78" s="323"/>
      <c r="G78" s="323"/>
      <c r="H78" s="323"/>
      <c r="I78" s="323"/>
    </row>
    <row r="79" spans="1:9" x14ac:dyDescent="0.25">
      <c r="A79" s="320"/>
      <c r="B79" s="320"/>
      <c r="C79" s="320"/>
      <c r="D79" s="321"/>
      <c r="E79" s="322"/>
      <c r="F79" s="323"/>
      <c r="G79" s="323"/>
      <c r="H79" s="323"/>
      <c r="I79" s="323"/>
    </row>
    <row r="80" spans="1:9" x14ac:dyDescent="0.25">
      <c r="A80" s="320"/>
      <c r="B80" s="320"/>
      <c r="C80" s="320"/>
      <c r="D80" s="321"/>
      <c r="E80" s="38"/>
      <c r="I80" s="20"/>
    </row>
    <row r="81" spans="1:9" x14ac:dyDescent="0.25">
      <c r="A81" s="315" t="s">
        <v>101</v>
      </c>
      <c r="B81" s="315"/>
      <c r="C81" s="315"/>
      <c r="D81" s="315"/>
      <c r="E81" s="315"/>
      <c r="F81" s="315"/>
      <c r="G81" s="315"/>
      <c r="H81" s="315"/>
      <c r="I81" s="315"/>
    </row>
  </sheetData>
  <mergeCells count="60">
    <mergeCell ref="A1:D1"/>
    <mergeCell ref="E1:I1"/>
    <mergeCell ref="A2:D2"/>
    <mergeCell ref="E2:I2"/>
    <mergeCell ref="A4:C4"/>
    <mergeCell ref="E4:I4"/>
    <mergeCell ref="C10:I10"/>
    <mergeCell ref="C11:I11"/>
    <mergeCell ref="C12:E12"/>
    <mergeCell ref="C14:I14"/>
    <mergeCell ref="F13:I13"/>
    <mergeCell ref="A5:I5"/>
    <mergeCell ref="A6:I6"/>
    <mergeCell ref="A7:I7"/>
    <mergeCell ref="B8:I8"/>
    <mergeCell ref="B9:E9"/>
    <mergeCell ref="F9:I9"/>
    <mergeCell ref="B29:I29"/>
    <mergeCell ref="C25:I25"/>
    <mergeCell ref="B26:F26"/>
    <mergeCell ref="B27:G27"/>
    <mergeCell ref="C15:I15"/>
    <mergeCell ref="C16:E16"/>
    <mergeCell ref="B17:I17"/>
    <mergeCell ref="D19:E19"/>
    <mergeCell ref="C24:I24"/>
    <mergeCell ref="B28:I28"/>
    <mergeCell ref="B40:C40"/>
    <mergeCell ref="A30:A31"/>
    <mergeCell ref="B30:I30"/>
    <mergeCell ref="B31:C31"/>
    <mergeCell ref="B32:C32"/>
    <mergeCell ref="B33:C33"/>
    <mergeCell ref="B34:C34"/>
    <mergeCell ref="B36:I36"/>
    <mergeCell ref="B37:C37"/>
    <mergeCell ref="B38:C38"/>
    <mergeCell ref="B39:C39"/>
    <mergeCell ref="F67:I67"/>
    <mergeCell ref="A42:A44"/>
    <mergeCell ref="B42:G42"/>
    <mergeCell ref="B43:G43"/>
    <mergeCell ref="B44:G44"/>
    <mergeCell ref="B46:G46"/>
    <mergeCell ref="B61:G61"/>
    <mergeCell ref="B62:C62"/>
    <mergeCell ref="B63:C63"/>
    <mergeCell ref="B64:C64"/>
    <mergeCell ref="B65:G65"/>
    <mergeCell ref="C66:I66"/>
    <mergeCell ref="I50:I56"/>
    <mergeCell ref="I58:I59"/>
    <mergeCell ref="A81:I81"/>
    <mergeCell ref="F68:I68"/>
    <mergeCell ref="F69:I69"/>
    <mergeCell ref="F75:I75"/>
    <mergeCell ref="A76:I76"/>
    <mergeCell ref="A77:I77"/>
    <mergeCell ref="A78:D80"/>
    <mergeCell ref="E78:I79"/>
  </mergeCells>
  <pageMargins left="0.19685039370078741" right="0.15748031496062992" top="0.19685039370078741" bottom="0.19685039370078741" header="0.19685039370078741" footer="0.15748031496062992"/>
  <pageSetup paperSize="9" scale="80" orientation="portrait"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86"/>
  <sheetViews>
    <sheetView topLeftCell="A31" workbookViewId="0">
      <selection activeCell="B38" sqref="B38:C38"/>
    </sheetView>
  </sheetViews>
  <sheetFormatPr defaultColWidth="9.140625" defaultRowHeight="16.5" x14ac:dyDescent="0.25"/>
  <cols>
    <col min="1" max="1" width="4.140625" style="68" customWidth="1"/>
    <col min="2" max="2" width="27.7109375" style="20" customWidth="1"/>
    <col min="3" max="3" width="9.140625" style="20" customWidth="1"/>
    <col min="4" max="4" width="21.42578125" style="20" customWidth="1"/>
    <col min="5" max="5" width="10.42578125" style="23" customWidth="1"/>
    <col min="6" max="6" width="12.140625" style="20" customWidth="1"/>
    <col min="7" max="7" width="9.42578125" style="20" customWidth="1"/>
    <col min="8" max="8" width="13.42578125" style="20" customWidth="1"/>
    <col min="9" max="9" width="16.42578125" style="120" customWidth="1"/>
    <col min="10" max="11" width="9.140625" style="20" customWidth="1"/>
    <col min="12" max="12" width="11.42578125" style="20" customWidth="1"/>
    <col min="13" max="19" width="9.140625" style="20" customWidth="1"/>
    <col min="20" max="16384" width="9.140625" style="20"/>
  </cols>
  <sheetData>
    <row r="1" spans="1:17" s="36" customFormat="1" x14ac:dyDescent="0.25">
      <c r="A1" s="368" t="s">
        <v>98</v>
      </c>
      <c r="B1" s="368"/>
      <c r="C1" s="368"/>
      <c r="D1" s="368"/>
      <c r="E1" s="368" t="s">
        <v>0</v>
      </c>
      <c r="F1" s="368"/>
      <c r="G1" s="368"/>
      <c r="H1" s="368"/>
      <c r="I1" s="368"/>
    </row>
    <row r="2" spans="1:17" s="36" customFormat="1" x14ac:dyDescent="0.25">
      <c r="A2" s="369" t="s">
        <v>99</v>
      </c>
      <c r="B2" s="369"/>
      <c r="C2" s="369"/>
      <c r="D2" s="369"/>
      <c r="E2" s="369" t="s">
        <v>1</v>
      </c>
      <c r="F2" s="368"/>
      <c r="G2" s="368"/>
      <c r="H2" s="368"/>
      <c r="I2" s="368"/>
    </row>
    <row r="3" spans="1:17" s="36" customFormat="1" ht="16.5" customHeight="1" x14ac:dyDescent="0.25">
      <c r="A3" s="39"/>
      <c r="C3" s="39"/>
      <c r="D3" s="39"/>
      <c r="E3" s="39"/>
      <c r="F3" s="39"/>
      <c r="G3" s="39"/>
      <c r="H3" s="39"/>
      <c r="I3" s="37"/>
    </row>
    <row r="4" spans="1:17" s="36" customFormat="1" x14ac:dyDescent="0.25">
      <c r="A4" s="369" t="s">
        <v>89</v>
      </c>
      <c r="B4" s="369"/>
      <c r="C4" s="369"/>
      <c r="D4" s="369"/>
      <c r="E4" s="370" t="s">
        <v>371</v>
      </c>
      <c r="F4" s="370"/>
      <c r="G4" s="370"/>
      <c r="H4" s="370"/>
      <c r="I4" s="370"/>
    </row>
    <row r="5" spans="1:17" s="40" customFormat="1" ht="21.75" customHeight="1" x14ac:dyDescent="0.25">
      <c r="A5" s="371" t="s">
        <v>85</v>
      </c>
      <c r="B5" s="371"/>
      <c r="C5" s="371"/>
      <c r="D5" s="371"/>
      <c r="E5" s="371"/>
      <c r="F5" s="371"/>
      <c r="G5" s="371"/>
      <c r="H5" s="371"/>
      <c r="I5" s="371"/>
    </row>
    <row r="6" spans="1:17" s="40" customFormat="1" ht="40.5" customHeight="1" x14ac:dyDescent="0.25">
      <c r="A6" s="372" t="s">
        <v>86</v>
      </c>
      <c r="B6" s="372"/>
      <c r="C6" s="372"/>
      <c r="D6" s="372"/>
      <c r="E6" s="372"/>
      <c r="F6" s="372"/>
      <c r="G6" s="372"/>
      <c r="H6" s="372"/>
      <c r="I6" s="372"/>
      <c r="Q6" s="41"/>
    </row>
    <row r="7" spans="1:17" s="40" customFormat="1" ht="24.75" customHeight="1" x14ac:dyDescent="0.25">
      <c r="A7" s="373" t="s">
        <v>166</v>
      </c>
      <c r="B7" s="373"/>
      <c r="C7" s="373"/>
      <c r="D7" s="373"/>
      <c r="E7" s="373"/>
      <c r="F7" s="373"/>
      <c r="G7" s="373"/>
      <c r="H7" s="373"/>
      <c r="I7" s="373"/>
    </row>
    <row r="8" spans="1:17" s="42" customFormat="1" ht="19.899999999999999" customHeight="1" x14ac:dyDescent="0.25">
      <c r="A8" s="121" t="s">
        <v>2</v>
      </c>
      <c r="B8" s="362" t="s">
        <v>3</v>
      </c>
      <c r="C8" s="362"/>
      <c r="D8" s="362"/>
      <c r="E8" s="362"/>
      <c r="F8" s="362"/>
      <c r="G8" s="362"/>
      <c r="H8" s="362"/>
      <c r="I8" s="362"/>
    </row>
    <row r="9" spans="1:17" s="42" customFormat="1" ht="19.899999999999999" customHeight="1" x14ac:dyDescent="0.25">
      <c r="A9" s="121" t="s">
        <v>4</v>
      </c>
      <c r="B9" s="374" t="s">
        <v>5</v>
      </c>
      <c r="C9" s="374"/>
      <c r="D9" s="374"/>
      <c r="E9" s="374"/>
      <c r="F9" s="365" t="s">
        <v>237</v>
      </c>
      <c r="G9" s="365"/>
      <c r="H9" s="365"/>
      <c r="I9" s="365"/>
    </row>
    <row r="10" spans="1:17" s="42" customFormat="1" ht="19.899999999999999" customHeight="1" x14ac:dyDescent="0.25">
      <c r="A10" s="122"/>
      <c r="B10" s="24" t="s">
        <v>6</v>
      </c>
      <c r="C10" s="365" t="s">
        <v>238</v>
      </c>
      <c r="D10" s="365"/>
      <c r="E10" s="365"/>
      <c r="F10" s="365"/>
      <c r="G10" s="365"/>
      <c r="H10" s="365"/>
      <c r="I10" s="365"/>
    </row>
    <row r="11" spans="1:17" s="42" customFormat="1" ht="19.899999999999999" customHeight="1" x14ac:dyDescent="0.25">
      <c r="A11" s="122"/>
      <c r="B11" s="24" t="s">
        <v>7</v>
      </c>
      <c r="C11" s="365" t="s">
        <v>238</v>
      </c>
      <c r="D11" s="365"/>
      <c r="E11" s="365"/>
      <c r="F11" s="365"/>
      <c r="G11" s="365"/>
      <c r="H11" s="365"/>
      <c r="I11" s="365"/>
    </row>
    <row r="12" spans="1:17" s="42" customFormat="1" ht="19.899999999999999" customHeight="1" x14ac:dyDescent="0.25">
      <c r="A12" s="122"/>
      <c r="B12" s="24" t="s">
        <v>11</v>
      </c>
      <c r="C12" s="361" t="s">
        <v>247</v>
      </c>
      <c r="D12" s="361"/>
      <c r="E12" s="361"/>
      <c r="F12" s="43"/>
      <c r="G12" s="43"/>
      <c r="H12" s="43"/>
      <c r="I12" s="43"/>
    </row>
    <row r="13" spans="1:17" s="42" customFormat="1" ht="19.899999999999999" customHeight="1" x14ac:dyDescent="0.25">
      <c r="A13" s="121" t="s">
        <v>9</v>
      </c>
      <c r="B13" s="44" t="s">
        <v>10</v>
      </c>
      <c r="E13" s="43"/>
      <c r="F13" s="362" t="str">
        <f>F9</f>
        <v>Đỗ Thị Ngọc</v>
      </c>
      <c r="G13" s="362"/>
      <c r="H13" s="362"/>
      <c r="I13" s="362"/>
      <c r="J13" s="143"/>
    </row>
    <row r="14" spans="1:17" s="42" customFormat="1" ht="19.899999999999999" customHeight="1" x14ac:dyDescent="0.25">
      <c r="A14" s="122"/>
      <c r="B14" s="24" t="s">
        <v>6</v>
      </c>
      <c r="C14" s="365" t="str">
        <f>+C10</f>
        <v>TDP Xuân Hà - xã Xuân Mai - TP Hà Nội</v>
      </c>
      <c r="D14" s="365"/>
      <c r="E14" s="365"/>
      <c r="F14" s="365"/>
      <c r="G14" s="365"/>
      <c r="H14" s="365"/>
      <c r="I14" s="365"/>
    </row>
    <row r="15" spans="1:17" s="42" customFormat="1" ht="19.899999999999999" customHeight="1" x14ac:dyDescent="0.25">
      <c r="A15" s="122"/>
      <c r="B15" s="24" t="s">
        <v>7</v>
      </c>
      <c r="C15" s="365" t="str">
        <f>C11</f>
        <v>TDP Xuân Hà - xã Xuân Mai - TP Hà Nội</v>
      </c>
      <c r="D15" s="365"/>
      <c r="E15" s="365"/>
      <c r="F15" s="365"/>
      <c r="G15" s="365"/>
      <c r="H15" s="365"/>
      <c r="I15" s="365"/>
    </row>
    <row r="16" spans="1:17" s="42" customFormat="1" ht="19.899999999999999" customHeight="1" x14ac:dyDescent="0.25">
      <c r="A16" s="122"/>
      <c r="B16" s="24" t="s">
        <v>11</v>
      </c>
      <c r="C16" s="361" t="str">
        <f>+C12</f>
        <v>001166010279</v>
      </c>
      <c r="D16" s="361"/>
      <c r="E16" s="361"/>
      <c r="F16" s="43"/>
      <c r="G16" s="43"/>
      <c r="H16" s="43"/>
      <c r="I16" s="43"/>
    </row>
    <row r="17" spans="1:19" s="42" customFormat="1" ht="19.899999999999999" customHeight="1" x14ac:dyDescent="0.25">
      <c r="A17" s="121" t="s">
        <v>12</v>
      </c>
      <c r="B17" s="362" t="s">
        <v>13</v>
      </c>
      <c r="C17" s="362"/>
      <c r="D17" s="362"/>
      <c r="E17" s="362"/>
      <c r="F17" s="362"/>
      <c r="G17" s="362"/>
      <c r="H17" s="362"/>
      <c r="I17" s="362"/>
    </row>
    <row r="18" spans="1:19" s="42" customFormat="1" ht="19.899999999999999" customHeight="1" x14ac:dyDescent="0.25">
      <c r="A18" s="121" t="s">
        <v>4</v>
      </c>
      <c r="B18" s="46" t="s">
        <v>14</v>
      </c>
      <c r="E18" s="43"/>
    </row>
    <row r="19" spans="1:19" s="51" customFormat="1" ht="19.899999999999999" customHeight="1" x14ac:dyDescent="0.25">
      <c r="A19" s="123"/>
      <c r="B19" s="47" t="s">
        <v>15</v>
      </c>
      <c r="C19" s="144" t="s">
        <v>132</v>
      </c>
      <c r="D19" s="363" t="s">
        <v>16</v>
      </c>
      <c r="E19" s="363"/>
      <c r="F19" s="49" t="s">
        <v>128</v>
      </c>
      <c r="G19" s="50"/>
      <c r="I19" s="50"/>
    </row>
    <row r="20" spans="1:19" s="51" customFormat="1" ht="19.899999999999999" customHeight="1" x14ac:dyDescent="0.25">
      <c r="A20" s="123"/>
      <c r="B20" s="47" t="s">
        <v>17</v>
      </c>
      <c r="C20" s="52">
        <v>161.19999999999999</v>
      </c>
      <c r="D20" s="50" t="s">
        <v>105</v>
      </c>
      <c r="E20" s="53"/>
      <c r="F20" s="54"/>
      <c r="H20" s="55"/>
      <c r="I20" s="50"/>
    </row>
    <row r="21" spans="1:19" s="51" customFormat="1" ht="19.899999999999999" customHeight="1" x14ac:dyDescent="0.25">
      <c r="A21" s="123"/>
      <c r="B21" s="56" t="s">
        <v>18</v>
      </c>
      <c r="C21" s="57"/>
      <c r="D21" s="50"/>
      <c r="E21" s="53"/>
      <c r="F21" s="50"/>
      <c r="H21" s="55"/>
      <c r="I21" s="50"/>
    </row>
    <row r="22" spans="1:19" s="51" customFormat="1" ht="19.899999999999999" customHeight="1" x14ac:dyDescent="0.25">
      <c r="A22" s="123"/>
      <c r="B22" s="47" t="s">
        <v>19</v>
      </c>
      <c r="C22" s="52">
        <v>110.8</v>
      </c>
      <c r="D22" s="50" t="s">
        <v>105</v>
      </c>
      <c r="E22" s="53"/>
      <c r="F22" s="50"/>
      <c r="H22" s="55"/>
      <c r="I22" s="50"/>
    </row>
    <row r="23" spans="1:19" s="51" customFormat="1" ht="19.899999999999999" customHeight="1" x14ac:dyDescent="0.25">
      <c r="A23" s="123"/>
      <c r="B23" s="47" t="s">
        <v>20</v>
      </c>
      <c r="C23" s="57">
        <f>C20-C22</f>
        <v>50.399999999999991</v>
      </c>
      <c r="D23" s="50" t="s">
        <v>105</v>
      </c>
      <c r="E23" s="53"/>
      <c r="F23" s="50"/>
      <c r="H23" s="55"/>
      <c r="I23" s="50"/>
    </row>
    <row r="24" spans="1:19" s="42" customFormat="1" ht="19.899999999999999" customHeight="1" x14ac:dyDescent="0.25">
      <c r="A24" s="122"/>
      <c r="B24" s="24" t="s">
        <v>21</v>
      </c>
      <c r="C24" s="362" t="s">
        <v>146</v>
      </c>
      <c r="D24" s="362"/>
      <c r="E24" s="362"/>
      <c r="F24" s="362"/>
      <c r="G24" s="362"/>
      <c r="H24" s="362"/>
      <c r="I24" s="362"/>
    </row>
    <row r="25" spans="1:19" s="36" customFormat="1" ht="204" customHeight="1" x14ac:dyDescent="0.25">
      <c r="A25" s="39" t="s">
        <v>9</v>
      </c>
      <c r="B25" s="58" t="s">
        <v>73</v>
      </c>
      <c r="C25" s="366" t="s">
        <v>569</v>
      </c>
      <c r="D25" s="367"/>
      <c r="E25" s="367"/>
      <c r="F25" s="367"/>
      <c r="G25" s="367"/>
      <c r="H25" s="367"/>
      <c r="I25" s="367"/>
      <c r="J25" s="133"/>
      <c r="K25" s="133"/>
      <c r="L25" s="59"/>
      <c r="M25" s="59"/>
      <c r="N25" s="59"/>
      <c r="O25" s="59"/>
      <c r="P25" s="59"/>
      <c r="Q25" s="59"/>
      <c r="R25" s="59"/>
      <c r="S25" s="59"/>
    </row>
    <row r="26" spans="1:19" s="36" customFormat="1" ht="21" customHeight="1" x14ac:dyDescent="0.25">
      <c r="A26" s="39" t="s">
        <v>22</v>
      </c>
      <c r="B26" s="364" t="s">
        <v>82</v>
      </c>
      <c r="C26" s="364"/>
      <c r="D26" s="364"/>
      <c r="E26" s="364"/>
      <c r="F26" s="364"/>
      <c r="G26" s="60"/>
      <c r="H26" s="149">
        <v>0</v>
      </c>
      <c r="I26" s="60" t="s">
        <v>55</v>
      </c>
      <c r="J26" s="142"/>
      <c r="K26" s="142"/>
      <c r="L26" s="59"/>
      <c r="M26" s="59"/>
      <c r="N26" s="59"/>
      <c r="O26" s="59"/>
      <c r="P26" s="59"/>
      <c r="Q26" s="59"/>
      <c r="R26" s="59"/>
      <c r="S26" s="59"/>
    </row>
    <row r="27" spans="1:19" s="36" customFormat="1" ht="23.25" customHeight="1" x14ac:dyDescent="0.25">
      <c r="A27" s="39" t="s">
        <v>23</v>
      </c>
      <c r="B27" s="364" t="s">
        <v>65</v>
      </c>
      <c r="C27" s="364"/>
      <c r="D27" s="364"/>
      <c r="E27" s="364"/>
      <c r="F27" s="364"/>
      <c r="G27" s="364"/>
      <c r="H27" s="148">
        <v>0</v>
      </c>
      <c r="I27" s="60" t="s">
        <v>84</v>
      </c>
      <c r="J27" s="59"/>
      <c r="K27" s="59"/>
      <c r="L27" s="59"/>
      <c r="M27" s="59"/>
      <c r="N27" s="59"/>
      <c r="O27" s="59"/>
      <c r="P27" s="59"/>
      <c r="Q27" s="59"/>
      <c r="R27" s="59"/>
      <c r="S27" s="59"/>
    </row>
    <row r="28" spans="1:19" s="41" customFormat="1" x14ac:dyDescent="0.25">
      <c r="A28" s="39" t="s">
        <v>88</v>
      </c>
      <c r="B28" s="364" t="s">
        <v>87</v>
      </c>
      <c r="C28" s="364"/>
      <c r="D28" s="364"/>
      <c r="E28" s="364"/>
      <c r="F28" s="364"/>
      <c r="G28" s="364"/>
      <c r="H28" s="364"/>
      <c r="I28" s="364"/>
    </row>
    <row r="29" spans="1:19" s="40" customFormat="1" x14ac:dyDescent="0.25">
      <c r="A29" s="39" t="s">
        <v>4</v>
      </c>
      <c r="B29" s="360" t="s">
        <v>24</v>
      </c>
      <c r="C29" s="360"/>
      <c r="D29" s="360"/>
      <c r="E29" s="360"/>
      <c r="F29" s="360"/>
      <c r="G29" s="360"/>
      <c r="H29" s="360"/>
      <c r="I29" s="360"/>
      <c r="J29" s="41"/>
      <c r="K29" s="41"/>
      <c r="L29" s="41"/>
      <c r="M29" s="41"/>
      <c r="N29" s="41"/>
      <c r="O29" s="41"/>
      <c r="P29" s="41"/>
      <c r="Q29" s="41"/>
      <c r="R29" s="41"/>
      <c r="S29" s="41"/>
    </row>
    <row r="30" spans="1:19" s="24" customFormat="1" ht="30.75" customHeight="1" x14ac:dyDescent="0.25">
      <c r="A30" s="351" t="s">
        <v>25</v>
      </c>
      <c r="B30" s="353" t="s">
        <v>26</v>
      </c>
      <c r="C30" s="354"/>
      <c r="D30" s="354"/>
      <c r="E30" s="354"/>
      <c r="F30" s="354"/>
      <c r="G30" s="354"/>
      <c r="H30" s="354"/>
      <c r="I30" s="355"/>
    </row>
    <row r="31" spans="1:19" s="25" customFormat="1" ht="49.5" x14ac:dyDescent="0.25">
      <c r="A31" s="352"/>
      <c r="B31" s="353" t="s">
        <v>27</v>
      </c>
      <c r="C31" s="355"/>
      <c r="D31" s="21" t="s">
        <v>28</v>
      </c>
      <c r="E31" s="22" t="s">
        <v>29</v>
      </c>
      <c r="F31" s="22" t="s">
        <v>30</v>
      </c>
      <c r="G31" s="21" t="s">
        <v>31</v>
      </c>
      <c r="H31" s="22" t="s">
        <v>104</v>
      </c>
      <c r="I31" s="22" t="s">
        <v>33</v>
      </c>
    </row>
    <row r="32" spans="1:19" s="62" customFormat="1" ht="18.75" customHeight="1" x14ac:dyDescent="0.25">
      <c r="A32" s="61">
        <v>1</v>
      </c>
      <c r="B32" s="356">
        <v>2</v>
      </c>
      <c r="C32" s="357"/>
      <c r="D32" s="61">
        <v>3</v>
      </c>
      <c r="E32" s="61">
        <v>4</v>
      </c>
      <c r="F32" s="61">
        <v>5</v>
      </c>
      <c r="G32" s="61">
        <v>6</v>
      </c>
      <c r="H32" s="61">
        <v>7</v>
      </c>
      <c r="I32" s="61">
        <v>8</v>
      </c>
    </row>
    <row r="33" spans="1:9" s="68" customFormat="1" ht="31.5" customHeight="1" x14ac:dyDescent="0.25">
      <c r="A33" s="63">
        <v>1</v>
      </c>
      <c r="B33" s="358" t="s">
        <v>563</v>
      </c>
      <c r="C33" s="359"/>
      <c r="D33" s="64" t="s">
        <v>106</v>
      </c>
      <c r="E33" s="65">
        <f>C22</f>
        <v>110.8</v>
      </c>
      <c r="F33" s="63"/>
      <c r="G33" s="66"/>
      <c r="H33" s="166">
        <f>E33*F33*G33</f>
        <v>0</v>
      </c>
      <c r="I33" s="67"/>
    </row>
    <row r="34" spans="1:9" s="71" customFormat="1" ht="24" customHeight="1" x14ac:dyDescent="0.25">
      <c r="A34" s="69"/>
      <c r="B34" s="349" t="s">
        <v>34</v>
      </c>
      <c r="C34" s="350"/>
      <c r="D34" s="69"/>
      <c r="E34" s="69"/>
      <c r="F34" s="69"/>
      <c r="G34" s="69"/>
      <c r="H34" s="169">
        <f>SUM(H33:H33)</f>
        <v>0</v>
      </c>
      <c r="I34" s="69"/>
    </row>
    <row r="35" spans="1:9" ht="12" customHeight="1" x14ac:dyDescent="0.25">
      <c r="A35" s="77"/>
      <c r="B35" s="72"/>
      <c r="C35" s="72"/>
      <c r="D35" s="73"/>
      <c r="E35" s="73"/>
      <c r="F35" s="73"/>
      <c r="G35" s="73"/>
      <c r="H35" s="73"/>
      <c r="I35" s="73"/>
    </row>
    <row r="36" spans="1:9" x14ac:dyDescent="0.25">
      <c r="A36" s="75" t="s">
        <v>9</v>
      </c>
      <c r="B36" s="360" t="s">
        <v>35</v>
      </c>
      <c r="C36" s="360"/>
      <c r="D36" s="360"/>
      <c r="E36" s="360"/>
      <c r="F36" s="360"/>
      <c r="G36" s="360"/>
      <c r="H36" s="360"/>
      <c r="I36" s="360"/>
    </row>
    <row r="37" spans="1:9" s="23" customFormat="1" ht="49.5" x14ac:dyDescent="0.25">
      <c r="A37" s="29" t="s">
        <v>25</v>
      </c>
      <c r="B37" s="353" t="s">
        <v>27</v>
      </c>
      <c r="C37" s="355"/>
      <c r="D37" s="21" t="s">
        <v>28</v>
      </c>
      <c r="E37" s="22" t="s">
        <v>29</v>
      </c>
      <c r="F37" s="22" t="s">
        <v>30</v>
      </c>
      <c r="G37" s="21" t="s">
        <v>31</v>
      </c>
      <c r="H37" s="22" t="s">
        <v>32</v>
      </c>
      <c r="I37" s="22" t="s">
        <v>33</v>
      </c>
    </row>
    <row r="38" spans="1:9" s="62" customFormat="1" ht="18" customHeight="1" x14ac:dyDescent="0.25">
      <c r="A38" s="61">
        <v>1</v>
      </c>
      <c r="B38" s="356">
        <v>2</v>
      </c>
      <c r="C38" s="357"/>
      <c r="D38" s="61">
        <v>3</v>
      </c>
      <c r="E38" s="61">
        <v>4</v>
      </c>
      <c r="F38" s="61">
        <v>5</v>
      </c>
      <c r="G38" s="61">
        <v>6</v>
      </c>
      <c r="H38" s="61">
        <v>7</v>
      </c>
      <c r="I38" s="61">
        <v>8</v>
      </c>
    </row>
    <row r="39" spans="1:9" ht="37.5" customHeight="1" x14ac:dyDescent="0.25">
      <c r="A39" s="26">
        <v>1</v>
      </c>
      <c r="B39" s="353"/>
      <c r="C39" s="355"/>
      <c r="D39" s="27"/>
      <c r="E39" s="22"/>
      <c r="F39" s="27"/>
      <c r="G39" s="27"/>
      <c r="H39" s="27"/>
      <c r="I39" s="26" t="s">
        <v>36</v>
      </c>
    </row>
    <row r="40" spans="1:9" s="71" customFormat="1" ht="25.5" customHeight="1" x14ac:dyDescent="0.25">
      <c r="A40" s="69"/>
      <c r="B40" s="349" t="s">
        <v>34</v>
      </c>
      <c r="C40" s="350"/>
      <c r="D40" s="74"/>
      <c r="E40" s="69"/>
      <c r="F40" s="74"/>
      <c r="G40" s="74"/>
      <c r="H40" s="74"/>
      <c r="I40" s="69"/>
    </row>
    <row r="41" spans="1:9" x14ac:dyDescent="0.25">
      <c r="A41" s="124"/>
      <c r="B41" s="75"/>
      <c r="C41" s="75"/>
      <c r="D41" s="76"/>
      <c r="E41" s="75"/>
      <c r="F41" s="76"/>
      <c r="G41" s="76"/>
      <c r="H41" s="76"/>
      <c r="I41" s="75"/>
    </row>
    <row r="42" spans="1:9" x14ac:dyDescent="0.25">
      <c r="A42" s="324"/>
      <c r="B42" s="327" t="s">
        <v>37</v>
      </c>
      <c r="C42" s="328"/>
      <c r="D42" s="328"/>
      <c r="E42" s="328"/>
      <c r="F42" s="328"/>
      <c r="G42" s="329"/>
      <c r="H42" s="27"/>
      <c r="I42" s="26" t="s">
        <v>74</v>
      </c>
    </row>
    <row r="43" spans="1:9" x14ac:dyDescent="0.25">
      <c r="A43" s="325"/>
      <c r="B43" s="330" t="s">
        <v>38</v>
      </c>
      <c r="C43" s="331"/>
      <c r="D43" s="331"/>
      <c r="E43" s="331"/>
      <c r="F43" s="331"/>
      <c r="G43" s="332"/>
      <c r="H43" s="27"/>
      <c r="I43" s="26" t="s">
        <v>74</v>
      </c>
    </row>
    <row r="44" spans="1:9" x14ac:dyDescent="0.25">
      <c r="A44" s="326"/>
      <c r="B44" s="333" t="s">
        <v>39</v>
      </c>
      <c r="C44" s="334"/>
      <c r="D44" s="334"/>
      <c r="E44" s="334"/>
      <c r="F44" s="334"/>
      <c r="G44" s="335"/>
      <c r="H44" s="27"/>
      <c r="I44" s="26" t="s">
        <v>74</v>
      </c>
    </row>
    <row r="45" spans="1:9" x14ac:dyDescent="0.25">
      <c r="A45" s="77"/>
      <c r="B45" s="72"/>
      <c r="C45" s="72"/>
      <c r="D45" s="72"/>
      <c r="E45" s="78"/>
      <c r="F45" s="72"/>
      <c r="G45" s="72"/>
      <c r="H45" s="79"/>
      <c r="I45" s="79"/>
    </row>
    <row r="46" spans="1:9" ht="26.25" customHeight="1" x14ac:dyDescent="0.25">
      <c r="A46" s="125" t="s">
        <v>22</v>
      </c>
      <c r="B46" s="336" t="s">
        <v>40</v>
      </c>
      <c r="C46" s="336"/>
      <c r="D46" s="336"/>
      <c r="E46" s="336"/>
      <c r="F46" s="336"/>
      <c r="G46" s="336"/>
      <c r="H46" s="80"/>
      <c r="I46" s="81"/>
    </row>
    <row r="47" spans="1:9" s="30" customFormat="1" ht="49.5" x14ac:dyDescent="0.25">
      <c r="A47" s="21" t="s">
        <v>25</v>
      </c>
      <c r="B47" s="21" t="s">
        <v>41</v>
      </c>
      <c r="C47" s="21" t="s">
        <v>28</v>
      </c>
      <c r="D47" s="21" t="s">
        <v>42</v>
      </c>
      <c r="E47" s="21" t="s">
        <v>43</v>
      </c>
      <c r="F47" s="21" t="s">
        <v>44</v>
      </c>
      <c r="G47" s="21" t="s">
        <v>31</v>
      </c>
      <c r="H47" s="21" t="s">
        <v>45</v>
      </c>
      <c r="I47" s="21" t="s">
        <v>33</v>
      </c>
    </row>
    <row r="48" spans="1:9" s="83" customFormat="1" ht="18" customHeight="1" x14ac:dyDescent="0.25">
      <c r="A48" s="82">
        <v>1</v>
      </c>
      <c r="B48" s="82">
        <v>2</v>
      </c>
      <c r="C48" s="82">
        <v>3</v>
      </c>
      <c r="D48" s="82">
        <v>4</v>
      </c>
      <c r="E48" s="82">
        <v>5</v>
      </c>
      <c r="F48" s="82">
        <v>6</v>
      </c>
      <c r="G48" s="82">
        <v>7</v>
      </c>
      <c r="H48" s="82">
        <v>8</v>
      </c>
      <c r="I48" s="82">
        <v>9</v>
      </c>
    </row>
    <row r="49" spans="1:9" s="89" customFormat="1" ht="30" customHeight="1" x14ac:dyDescent="0.25">
      <c r="A49" s="21" t="s">
        <v>46</v>
      </c>
      <c r="B49" s="84" t="s">
        <v>47</v>
      </c>
      <c r="C49" s="85"/>
      <c r="D49" s="85"/>
      <c r="E49" s="86"/>
      <c r="F49" s="85"/>
      <c r="G49" s="85"/>
      <c r="H49" s="157">
        <f>SUM(H50:H60)</f>
        <v>0</v>
      </c>
      <c r="I49" s="88"/>
    </row>
    <row r="50" spans="1:9" s="89" customFormat="1" ht="24.95" customHeight="1" x14ac:dyDescent="0.25">
      <c r="A50" s="90">
        <v>1</v>
      </c>
      <c r="B50" s="91" t="s">
        <v>90</v>
      </c>
      <c r="C50" s="64" t="s">
        <v>106</v>
      </c>
      <c r="D50" s="90" t="s">
        <v>239</v>
      </c>
      <c r="E50" s="265">
        <f>6.3*9.38</f>
        <v>59.094000000000001</v>
      </c>
      <c r="F50" s="93"/>
      <c r="G50" s="93"/>
      <c r="H50" s="183"/>
      <c r="I50" s="347" t="s">
        <v>110</v>
      </c>
    </row>
    <row r="51" spans="1:9" s="89" customFormat="1" ht="24.95" customHeight="1" x14ac:dyDescent="0.25">
      <c r="A51" s="244">
        <v>2</v>
      </c>
      <c r="B51" s="91" t="s">
        <v>151</v>
      </c>
      <c r="C51" s="64" t="s">
        <v>106</v>
      </c>
      <c r="D51" s="244" t="s">
        <v>372</v>
      </c>
      <c r="E51" s="231">
        <v>8.4499999999999993</v>
      </c>
      <c r="F51" s="93"/>
      <c r="G51" s="93"/>
      <c r="H51" s="183"/>
      <c r="I51" s="348"/>
    </row>
    <row r="52" spans="1:9" s="89" customFormat="1" ht="79.150000000000006" customHeight="1" x14ac:dyDescent="0.25">
      <c r="A52" s="90">
        <v>3</v>
      </c>
      <c r="B52" s="91" t="s">
        <v>240</v>
      </c>
      <c r="C52" s="64" t="s">
        <v>106</v>
      </c>
      <c r="D52" s="90" t="s">
        <v>241</v>
      </c>
      <c r="E52" s="231">
        <f>(9.38+8.24)/2*3.6</f>
        <v>31.716000000000001</v>
      </c>
      <c r="F52" s="93"/>
      <c r="G52" s="93"/>
      <c r="H52" s="183"/>
      <c r="I52" s="348"/>
    </row>
    <row r="53" spans="1:9" s="89" customFormat="1" ht="25.15" customHeight="1" x14ac:dyDescent="0.25">
      <c r="A53" s="90"/>
      <c r="B53" s="132" t="s">
        <v>374</v>
      </c>
      <c r="C53" s="64" t="s">
        <v>106</v>
      </c>
      <c r="D53" s="96" t="s">
        <v>373</v>
      </c>
      <c r="E53" s="231">
        <f>E52</f>
        <v>31.716000000000001</v>
      </c>
      <c r="F53" s="93"/>
      <c r="G53" s="93"/>
      <c r="H53" s="183"/>
      <c r="I53" s="348"/>
    </row>
    <row r="54" spans="1:9" s="89" customFormat="1" ht="25.5" customHeight="1" x14ac:dyDescent="0.25">
      <c r="A54" s="244">
        <v>4</v>
      </c>
      <c r="B54" s="91" t="s">
        <v>375</v>
      </c>
      <c r="C54" s="64" t="s">
        <v>106</v>
      </c>
      <c r="D54" s="96"/>
      <c r="E54" s="231"/>
      <c r="F54" s="93"/>
      <c r="G54" s="93"/>
      <c r="H54" s="183"/>
      <c r="I54" s="348"/>
    </row>
    <row r="55" spans="1:9" s="89" customFormat="1" ht="87" customHeight="1" x14ac:dyDescent="0.25">
      <c r="A55" s="90" t="s">
        <v>152</v>
      </c>
      <c r="B55" s="132" t="s">
        <v>376</v>
      </c>
      <c r="C55" s="64" t="s">
        <v>106</v>
      </c>
      <c r="D55" s="96" t="s">
        <v>243</v>
      </c>
      <c r="E55" s="92">
        <f>(6.64+8.24)/2*3.9</f>
        <v>29.015999999999998</v>
      </c>
      <c r="F55" s="93"/>
      <c r="G55" s="93"/>
      <c r="H55" s="183"/>
      <c r="I55" s="348"/>
    </row>
    <row r="56" spans="1:9" s="89" customFormat="1" ht="75" customHeight="1" x14ac:dyDescent="0.25">
      <c r="A56" s="244" t="s">
        <v>153</v>
      </c>
      <c r="B56" s="132" t="s">
        <v>377</v>
      </c>
      <c r="C56" s="64" t="s">
        <v>106</v>
      </c>
      <c r="D56" s="96" t="s">
        <v>378</v>
      </c>
      <c r="E56" s="92">
        <f>E55</f>
        <v>29.015999999999998</v>
      </c>
      <c r="F56" s="93"/>
      <c r="G56" s="93"/>
      <c r="H56" s="183"/>
      <c r="I56" s="348"/>
    </row>
    <row r="57" spans="1:9" s="89" customFormat="1" ht="27" customHeight="1" x14ac:dyDescent="0.25">
      <c r="A57" s="244"/>
      <c r="B57" s="132" t="s">
        <v>374</v>
      </c>
      <c r="C57" s="64" t="s">
        <v>106</v>
      </c>
      <c r="D57" s="96" t="s">
        <v>379</v>
      </c>
      <c r="E57" s="92">
        <f>E56</f>
        <v>29.015999999999998</v>
      </c>
      <c r="F57" s="93"/>
      <c r="G57" s="93"/>
      <c r="H57" s="183"/>
      <c r="I57" s="348"/>
    </row>
    <row r="58" spans="1:9" s="89" customFormat="1" ht="52.5" customHeight="1" x14ac:dyDescent="0.25">
      <c r="A58" s="90">
        <v>5</v>
      </c>
      <c r="B58" s="132" t="s">
        <v>244</v>
      </c>
      <c r="C58" s="64" t="s">
        <v>106</v>
      </c>
      <c r="D58" s="96" t="s">
        <v>245</v>
      </c>
      <c r="E58" s="92">
        <f>(1.1+2.1)/2*3.8</f>
        <v>6.08</v>
      </c>
      <c r="F58" s="93"/>
      <c r="G58" s="93"/>
      <c r="H58" s="183"/>
      <c r="I58" s="348"/>
    </row>
    <row r="59" spans="1:9" s="89" customFormat="1" ht="39" customHeight="1" x14ac:dyDescent="0.25">
      <c r="A59" s="90">
        <v>6</v>
      </c>
      <c r="B59" s="132" t="s">
        <v>90</v>
      </c>
      <c r="C59" s="64" t="s">
        <v>106</v>
      </c>
      <c r="D59" s="96" t="s">
        <v>556</v>
      </c>
      <c r="E59" s="92">
        <v>43.98</v>
      </c>
      <c r="F59" s="93"/>
      <c r="G59" s="93"/>
      <c r="H59" s="183"/>
      <c r="I59" s="348"/>
    </row>
    <row r="60" spans="1:9" s="89" customFormat="1" ht="28.5" customHeight="1" x14ac:dyDescent="0.25">
      <c r="A60" s="90">
        <v>7</v>
      </c>
      <c r="B60" s="132" t="s">
        <v>246</v>
      </c>
      <c r="C60" s="64" t="s">
        <v>92</v>
      </c>
      <c r="D60" s="96" t="s">
        <v>163</v>
      </c>
      <c r="E60" s="92">
        <v>12.5</v>
      </c>
      <c r="F60" s="93"/>
      <c r="G60" s="93"/>
      <c r="H60" s="183"/>
      <c r="I60" s="348"/>
    </row>
    <row r="61" spans="1:9" s="89" customFormat="1" ht="25.5" customHeight="1" x14ac:dyDescent="0.25">
      <c r="A61" s="21" t="s">
        <v>48</v>
      </c>
      <c r="B61" s="84" t="s">
        <v>49</v>
      </c>
      <c r="C61" s="85"/>
      <c r="D61" s="85"/>
      <c r="E61" s="135"/>
      <c r="F61" s="85"/>
      <c r="G61" s="85"/>
      <c r="H61" s="157">
        <f>SUM(H64:H64)</f>
        <v>0</v>
      </c>
      <c r="I61" s="95"/>
    </row>
    <row r="62" spans="1:9" s="89" customFormat="1" hidden="1" x14ac:dyDescent="0.25">
      <c r="A62" s="140"/>
      <c r="B62" s="136"/>
      <c r="C62" s="137"/>
      <c r="D62" s="138"/>
      <c r="E62" s="139"/>
      <c r="F62" s="97"/>
      <c r="G62" s="98"/>
      <c r="H62" s="184"/>
      <c r="I62" s="99"/>
    </row>
    <row r="63" spans="1:9" s="89" customFormat="1" ht="31.5" hidden="1" customHeight="1" x14ac:dyDescent="0.25">
      <c r="A63" s="140"/>
      <c r="B63" s="136"/>
      <c r="C63" s="137"/>
      <c r="D63" s="138"/>
      <c r="E63" s="139"/>
      <c r="F63" s="97"/>
      <c r="G63" s="98"/>
      <c r="H63" s="184"/>
      <c r="I63" s="99"/>
    </row>
    <row r="64" spans="1:9" s="89" customFormat="1" ht="28.15" customHeight="1" x14ac:dyDescent="0.25">
      <c r="A64" s="140"/>
      <c r="B64" s="136"/>
      <c r="C64" s="140"/>
      <c r="D64" s="138"/>
      <c r="E64" s="139"/>
      <c r="F64" s="97"/>
      <c r="G64" s="98"/>
      <c r="H64" s="184"/>
      <c r="I64" s="156"/>
    </row>
    <row r="65" spans="1:12" s="102" customFormat="1" ht="31.5" customHeight="1" x14ac:dyDescent="0.25">
      <c r="A65" s="126"/>
      <c r="B65" s="100" t="s">
        <v>50</v>
      </c>
      <c r="C65" s="100"/>
      <c r="D65" s="100"/>
      <c r="E65" s="100"/>
      <c r="F65" s="100"/>
      <c r="G65" s="100"/>
      <c r="H65" s="158">
        <f>H49+H61</f>
        <v>0</v>
      </c>
      <c r="I65" s="101"/>
    </row>
    <row r="66" spans="1:12" ht="22.5" customHeight="1" x14ac:dyDescent="0.25">
      <c r="A66" s="127">
        <v>4</v>
      </c>
      <c r="B66" s="336" t="s">
        <v>51</v>
      </c>
      <c r="C66" s="336"/>
      <c r="D66" s="336"/>
      <c r="E66" s="336"/>
      <c r="F66" s="336"/>
      <c r="G66" s="336"/>
      <c r="H66" s="51"/>
      <c r="I66" s="51"/>
    </row>
    <row r="67" spans="1:12" s="104" customFormat="1" ht="49.5" x14ac:dyDescent="0.25">
      <c r="A67" s="103" t="s">
        <v>25</v>
      </c>
      <c r="B67" s="338" t="s">
        <v>52</v>
      </c>
      <c r="C67" s="339"/>
      <c r="D67" s="21" t="s">
        <v>29</v>
      </c>
      <c r="E67" s="21" t="s">
        <v>53</v>
      </c>
      <c r="F67" s="21" t="s">
        <v>44</v>
      </c>
      <c r="G67" s="21" t="s">
        <v>54</v>
      </c>
      <c r="H67" s="21" t="s">
        <v>45</v>
      </c>
      <c r="I67" s="21" t="s">
        <v>33</v>
      </c>
    </row>
    <row r="68" spans="1:12" ht="24" customHeight="1" x14ac:dyDescent="0.25">
      <c r="A68" s="105"/>
      <c r="B68" s="340"/>
      <c r="C68" s="341"/>
      <c r="D68" s="106"/>
      <c r="E68" s="105"/>
      <c r="F68" s="107"/>
      <c r="G68" s="108"/>
      <c r="H68" s="176"/>
      <c r="I68" s="109"/>
      <c r="L68" s="110"/>
    </row>
    <row r="69" spans="1:12" s="112" customFormat="1" ht="27.75" customHeight="1" x14ac:dyDescent="0.25">
      <c r="A69" s="126"/>
      <c r="B69" s="342" t="s">
        <v>34</v>
      </c>
      <c r="C69" s="343"/>
      <c r="D69" s="100"/>
      <c r="E69" s="100"/>
      <c r="F69" s="100"/>
      <c r="G69" s="100"/>
      <c r="H69" s="163">
        <f>SUM(H68)</f>
        <v>0</v>
      </c>
      <c r="I69" s="111"/>
      <c r="L69" s="113"/>
    </row>
    <row r="70" spans="1:12" s="115" customFormat="1" ht="27.75" customHeight="1" x14ac:dyDescent="0.25">
      <c r="A70" s="128">
        <v>5</v>
      </c>
      <c r="B70" s="344" t="s">
        <v>56</v>
      </c>
      <c r="C70" s="344"/>
      <c r="D70" s="344"/>
      <c r="E70" s="344"/>
      <c r="F70" s="344"/>
      <c r="G70" s="345"/>
      <c r="H70" s="164">
        <f>H69+H65+H40+H34</f>
        <v>0</v>
      </c>
      <c r="I70" s="114" t="s">
        <v>57</v>
      </c>
    </row>
    <row r="71" spans="1:12" s="117" customFormat="1" ht="17.25" x14ac:dyDescent="0.25">
      <c r="A71" s="129"/>
      <c r="B71" s="116" t="s">
        <v>78</v>
      </c>
      <c r="C71" s="346" t="s">
        <v>91</v>
      </c>
      <c r="D71" s="346"/>
      <c r="E71" s="346"/>
      <c r="F71" s="346"/>
      <c r="G71" s="346"/>
      <c r="H71" s="346"/>
      <c r="I71" s="346"/>
    </row>
    <row r="72" spans="1:12" s="41" customFormat="1" ht="17.25" hidden="1" x14ac:dyDescent="0.3">
      <c r="A72" s="39"/>
      <c r="B72" s="118"/>
      <c r="E72" s="119"/>
      <c r="F72" s="316" t="s">
        <v>75</v>
      </c>
      <c r="G72" s="316"/>
      <c r="H72" s="316"/>
      <c r="I72" s="316"/>
    </row>
    <row r="73" spans="1:12" hidden="1" x14ac:dyDescent="0.25">
      <c r="F73" s="316" t="s">
        <v>76</v>
      </c>
      <c r="G73" s="316"/>
      <c r="H73" s="316"/>
      <c r="I73" s="316"/>
    </row>
    <row r="74" spans="1:12" hidden="1" x14ac:dyDescent="0.25">
      <c r="F74" s="317"/>
      <c r="G74" s="317"/>
      <c r="H74" s="317"/>
      <c r="I74" s="317"/>
    </row>
    <row r="75" spans="1:12" hidden="1" x14ac:dyDescent="0.25"/>
    <row r="76" spans="1:12" hidden="1" x14ac:dyDescent="0.25"/>
    <row r="77" spans="1:12" hidden="1" x14ac:dyDescent="0.25"/>
    <row r="78" spans="1:12" hidden="1" x14ac:dyDescent="0.25"/>
    <row r="79" spans="1:12" hidden="1" x14ac:dyDescent="0.25"/>
    <row r="80" spans="1:12" hidden="1" x14ac:dyDescent="0.25">
      <c r="F80" s="318" t="s">
        <v>77</v>
      </c>
      <c r="G80" s="318"/>
      <c r="H80" s="318"/>
      <c r="I80" s="318"/>
    </row>
    <row r="81" spans="1:9" ht="64.5" customHeight="1" x14ac:dyDescent="0.25">
      <c r="A81" s="319" t="s">
        <v>100</v>
      </c>
      <c r="B81" s="319"/>
      <c r="C81" s="319"/>
      <c r="D81" s="319"/>
      <c r="E81" s="319"/>
      <c r="F81" s="319"/>
      <c r="G81" s="319"/>
      <c r="H81" s="319"/>
      <c r="I81" s="319"/>
    </row>
    <row r="82" spans="1:9" x14ac:dyDescent="0.25">
      <c r="A82" s="315" t="s">
        <v>102</v>
      </c>
      <c r="B82" s="315"/>
      <c r="C82" s="315"/>
      <c r="D82" s="315"/>
      <c r="E82" s="315"/>
      <c r="F82" s="315"/>
      <c r="G82" s="315"/>
      <c r="H82" s="315"/>
      <c r="I82" s="315"/>
    </row>
    <row r="83" spans="1:9" x14ac:dyDescent="0.25">
      <c r="A83" s="320" t="s">
        <v>107</v>
      </c>
      <c r="B83" s="320"/>
      <c r="C83" s="320"/>
      <c r="D83" s="321"/>
      <c r="E83" s="322" t="s">
        <v>108</v>
      </c>
      <c r="F83" s="323"/>
      <c r="G83" s="323"/>
      <c r="H83" s="323"/>
      <c r="I83" s="323"/>
    </row>
    <row r="84" spans="1:9" x14ac:dyDescent="0.25">
      <c r="A84" s="320"/>
      <c r="B84" s="320"/>
      <c r="C84" s="320"/>
      <c r="D84" s="321"/>
      <c r="E84" s="322"/>
      <c r="F84" s="323"/>
      <c r="G84" s="323"/>
      <c r="H84" s="323"/>
      <c r="I84" s="323"/>
    </row>
    <row r="85" spans="1:9" x14ac:dyDescent="0.25">
      <c r="A85" s="320"/>
      <c r="B85" s="320"/>
      <c r="C85" s="320"/>
      <c r="D85" s="321"/>
      <c r="E85" s="38"/>
      <c r="I85" s="20"/>
    </row>
    <row r="86" spans="1:9" x14ac:dyDescent="0.25">
      <c r="A86" s="315" t="s">
        <v>101</v>
      </c>
      <c r="B86" s="315"/>
      <c r="C86" s="315"/>
      <c r="D86" s="315"/>
      <c r="E86" s="315"/>
      <c r="F86" s="315"/>
      <c r="G86" s="315"/>
      <c r="H86" s="315"/>
      <c r="I86" s="315"/>
    </row>
  </sheetData>
  <mergeCells count="59">
    <mergeCell ref="E1:I1"/>
    <mergeCell ref="E2:I2"/>
    <mergeCell ref="E4:I4"/>
    <mergeCell ref="A1:D1"/>
    <mergeCell ref="A2:D2"/>
    <mergeCell ref="A4:D4"/>
    <mergeCell ref="C24:I24"/>
    <mergeCell ref="A5:I5"/>
    <mergeCell ref="A6:I6"/>
    <mergeCell ref="A7:I7"/>
    <mergeCell ref="B8:I8"/>
    <mergeCell ref="B9:E9"/>
    <mergeCell ref="F9:I9"/>
    <mergeCell ref="F13:I13"/>
    <mergeCell ref="C10:I10"/>
    <mergeCell ref="C11:I11"/>
    <mergeCell ref="C12:E12"/>
    <mergeCell ref="C14:I14"/>
    <mergeCell ref="C15:I15"/>
    <mergeCell ref="C16:E16"/>
    <mergeCell ref="B17:I17"/>
    <mergeCell ref="D19:E19"/>
    <mergeCell ref="C25:I25"/>
    <mergeCell ref="B26:F26"/>
    <mergeCell ref="B27:G27"/>
    <mergeCell ref="B28:I28"/>
    <mergeCell ref="B29:I29"/>
    <mergeCell ref="A30:A31"/>
    <mergeCell ref="B30:I30"/>
    <mergeCell ref="B31:C31"/>
    <mergeCell ref="B32:C32"/>
    <mergeCell ref="B33:C33"/>
    <mergeCell ref="B40:C40"/>
    <mergeCell ref="I50:I60"/>
    <mergeCell ref="A42:A44"/>
    <mergeCell ref="B42:G42"/>
    <mergeCell ref="B43:G43"/>
    <mergeCell ref="B44:G44"/>
    <mergeCell ref="B34:C34"/>
    <mergeCell ref="B36:I36"/>
    <mergeCell ref="B37:C37"/>
    <mergeCell ref="B38:C38"/>
    <mergeCell ref="B39:C39"/>
    <mergeCell ref="A86:I86"/>
    <mergeCell ref="B46:G46"/>
    <mergeCell ref="F72:I72"/>
    <mergeCell ref="F73:I73"/>
    <mergeCell ref="F74:I74"/>
    <mergeCell ref="F80:I80"/>
    <mergeCell ref="C71:I71"/>
    <mergeCell ref="A81:I81"/>
    <mergeCell ref="A82:I82"/>
    <mergeCell ref="A83:D85"/>
    <mergeCell ref="E83:I84"/>
    <mergeCell ref="B66:G66"/>
    <mergeCell ref="B67:C67"/>
    <mergeCell ref="B68:C68"/>
    <mergeCell ref="B69:C69"/>
    <mergeCell ref="B70:G70"/>
  </mergeCells>
  <pageMargins left="0.11811023622047245" right="0.11811023622047245" top="0.19685039370078741" bottom="0.15748031496062992" header="0.19685039370078741" footer="0.15748031496062992"/>
  <pageSetup paperSize="9" scale="80" orientation="portrait"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77"/>
  <sheetViews>
    <sheetView topLeftCell="A29" workbookViewId="0">
      <selection activeCell="B38" sqref="B38:C38"/>
    </sheetView>
  </sheetViews>
  <sheetFormatPr defaultColWidth="9.140625" defaultRowHeight="16.5" x14ac:dyDescent="0.25"/>
  <cols>
    <col min="1" max="1" width="4.42578125" style="68" customWidth="1"/>
    <col min="2" max="2" width="27" style="20" customWidth="1"/>
    <col min="3" max="3" width="8.42578125" style="20" customWidth="1"/>
    <col min="4" max="4" width="26.28515625" style="20" customWidth="1"/>
    <col min="5" max="5" width="10.7109375" style="23" customWidth="1"/>
    <col min="6" max="6" width="11.140625" style="20" customWidth="1"/>
    <col min="7" max="7" width="9.42578125" style="20" customWidth="1"/>
    <col min="8" max="8" width="13.7109375" style="20" customWidth="1"/>
    <col min="9" max="9" width="13.28515625" style="120" customWidth="1"/>
    <col min="10" max="10" width="9.140625" style="20" customWidth="1"/>
    <col min="11" max="11" width="56.42578125" style="20" customWidth="1"/>
    <col min="12" max="12" width="11.42578125" style="20" customWidth="1"/>
    <col min="13" max="19" width="9.140625" style="20" customWidth="1"/>
    <col min="20" max="16384" width="9.140625" style="20"/>
  </cols>
  <sheetData>
    <row r="1" spans="1:17" s="36" customFormat="1" x14ac:dyDescent="0.25">
      <c r="A1" s="368" t="s">
        <v>98</v>
      </c>
      <c r="B1" s="368"/>
      <c r="C1" s="368"/>
      <c r="D1" s="368"/>
      <c r="E1" s="368" t="s">
        <v>0</v>
      </c>
      <c r="F1" s="368"/>
      <c r="G1" s="368"/>
      <c r="H1" s="368"/>
      <c r="I1" s="368"/>
    </row>
    <row r="2" spans="1:17" s="36" customFormat="1" x14ac:dyDescent="0.25">
      <c r="A2" s="369" t="s">
        <v>99</v>
      </c>
      <c r="B2" s="369"/>
      <c r="C2" s="369"/>
      <c r="D2" s="369"/>
      <c r="E2" s="369" t="s">
        <v>1</v>
      </c>
      <c r="F2" s="368"/>
      <c r="G2" s="368"/>
      <c r="H2" s="368"/>
      <c r="I2" s="368"/>
    </row>
    <row r="3" spans="1:17" s="36" customFormat="1" ht="15.75" customHeight="1" x14ac:dyDescent="0.25">
      <c r="A3" s="39"/>
      <c r="C3" s="39"/>
      <c r="D3" s="39"/>
      <c r="E3" s="39"/>
      <c r="F3" s="39"/>
      <c r="G3" s="39"/>
      <c r="H3" s="39"/>
      <c r="I3" s="37"/>
    </row>
    <row r="4" spans="1:17" s="36" customFormat="1" ht="21.75" customHeight="1" x14ac:dyDescent="0.25">
      <c r="A4" s="369" t="s">
        <v>89</v>
      </c>
      <c r="B4" s="369"/>
      <c r="C4" s="369"/>
      <c r="D4" s="369"/>
      <c r="E4" s="370" t="s">
        <v>185</v>
      </c>
      <c r="F4" s="370"/>
      <c r="G4" s="370"/>
      <c r="H4" s="370"/>
      <c r="I4" s="370"/>
    </row>
    <row r="5" spans="1:17" s="40" customFormat="1" ht="24" customHeight="1" x14ac:dyDescent="0.25">
      <c r="A5" s="371" t="s">
        <v>85</v>
      </c>
      <c r="B5" s="371"/>
      <c r="C5" s="371"/>
      <c r="D5" s="371"/>
      <c r="E5" s="371"/>
      <c r="F5" s="371"/>
      <c r="G5" s="371"/>
      <c r="H5" s="371"/>
      <c r="I5" s="371"/>
    </row>
    <row r="6" spans="1:17" s="40" customFormat="1" ht="43.5" customHeight="1" x14ac:dyDescent="0.25">
      <c r="A6" s="372" t="s">
        <v>86</v>
      </c>
      <c r="B6" s="372"/>
      <c r="C6" s="372"/>
      <c r="D6" s="372"/>
      <c r="E6" s="372"/>
      <c r="F6" s="372"/>
      <c r="G6" s="372"/>
      <c r="H6" s="372"/>
      <c r="I6" s="372"/>
      <c r="Q6" s="41"/>
    </row>
    <row r="7" spans="1:17" s="40" customFormat="1" ht="33" customHeight="1" x14ac:dyDescent="0.25">
      <c r="A7" s="373" t="s">
        <v>166</v>
      </c>
      <c r="B7" s="373"/>
      <c r="C7" s="373"/>
      <c r="D7" s="373"/>
      <c r="E7" s="373"/>
      <c r="F7" s="373"/>
      <c r="G7" s="373"/>
      <c r="H7" s="373"/>
      <c r="I7" s="373"/>
    </row>
    <row r="8" spans="1:17" s="42" customFormat="1" ht="19.899999999999999" customHeight="1" x14ac:dyDescent="0.25">
      <c r="A8" s="121" t="s">
        <v>2</v>
      </c>
      <c r="B8" s="362" t="s">
        <v>3</v>
      </c>
      <c r="C8" s="362"/>
      <c r="D8" s="362"/>
      <c r="E8" s="362"/>
      <c r="F8" s="362"/>
      <c r="G8" s="362"/>
      <c r="H8" s="362"/>
      <c r="I8" s="362"/>
    </row>
    <row r="9" spans="1:17" s="42" customFormat="1" ht="19.899999999999999" customHeight="1" x14ac:dyDescent="0.25">
      <c r="A9" s="121" t="s">
        <v>4</v>
      </c>
      <c r="B9" s="374" t="s">
        <v>5</v>
      </c>
      <c r="C9" s="374"/>
      <c r="D9" s="374"/>
      <c r="E9" s="374"/>
      <c r="F9" s="365" t="s">
        <v>249</v>
      </c>
      <c r="G9" s="365"/>
      <c r="H9" s="365"/>
      <c r="I9" s="365"/>
    </row>
    <row r="10" spans="1:17" s="42" customFormat="1" ht="19.899999999999999" customHeight="1" x14ac:dyDescent="0.25">
      <c r="A10" s="122"/>
      <c r="B10" s="24" t="s">
        <v>6</v>
      </c>
      <c r="C10" s="365" t="s">
        <v>146</v>
      </c>
      <c r="D10" s="365"/>
      <c r="E10" s="365"/>
      <c r="F10" s="365"/>
      <c r="G10" s="365"/>
      <c r="H10" s="365"/>
      <c r="I10" s="365"/>
    </row>
    <row r="11" spans="1:17" s="42" customFormat="1" ht="19.899999999999999" customHeight="1" x14ac:dyDescent="0.25">
      <c r="A11" s="122"/>
      <c r="B11" s="24" t="s">
        <v>7</v>
      </c>
      <c r="C11" s="365" t="s">
        <v>150</v>
      </c>
      <c r="D11" s="365"/>
      <c r="E11" s="365"/>
      <c r="F11" s="365"/>
      <c r="G11" s="365"/>
      <c r="H11" s="365"/>
      <c r="I11" s="365"/>
    </row>
    <row r="12" spans="1:17" s="42" customFormat="1" ht="19.899999999999999" customHeight="1" x14ac:dyDescent="0.25">
      <c r="A12" s="122"/>
      <c r="B12" s="24" t="s">
        <v>11</v>
      </c>
      <c r="C12" s="361" t="s">
        <v>250</v>
      </c>
      <c r="D12" s="361"/>
      <c r="E12" s="361"/>
      <c r="F12" s="43"/>
      <c r="G12" s="43"/>
      <c r="H12" s="43"/>
      <c r="I12" s="43"/>
    </row>
    <row r="13" spans="1:17" s="42" customFormat="1" ht="19.899999999999999" customHeight="1" x14ac:dyDescent="0.25">
      <c r="A13" s="121" t="s">
        <v>9</v>
      </c>
      <c r="B13" s="44" t="s">
        <v>10</v>
      </c>
      <c r="E13" s="43"/>
      <c r="F13" s="362" t="str">
        <f>F9</f>
        <v>Nguyễn Thị Vân</v>
      </c>
      <c r="G13" s="362"/>
      <c r="H13" s="362"/>
      <c r="I13" s="362"/>
      <c r="J13" s="143"/>
    </row>
    <row r="14" spans="1:17" s="42" customFormat="1" ht="19.899999999999999" customHeight="1" x14ac:dyDescent="0.25">
      <c r="A14" s="122"/>
      <c r="B14" s="24" t="s">
        <v>6</v>
      </c>
      <c r="C14" s="365" t="str">
        <f>+C10</f>
        <v>Thôn Phố Gốt - xã Phú Nghĩa - TP Hà Nội</v>
      </c>
      <c r="D14" s="365"/>
      <c r="E14" s="365"/>
      <c r="F14" s="365"/>
      <c r="G14" s="365"/>
      <c r="H14" s="365"/>
      <c r="I14" s="365"/>
    </row>
    <row r="15" spans="1:17" s="42" customFormat="1" ht="19.899999999999999" customHeight="1" x14ac:dyDescent="0.25">
      <c r="A15" s="122"/>
      <c r="B15" s="24" t="s">
        <v>7</v>
      </c>
      <c r="C15" s="365" t="str">
        <f>C11</f>
        <v>Thôn Phố Gốt- xã Phú Nghĩa - TP Hà Nội</v>
      </c>
      <c r="D15" s="365"/>
      <c r="E15" s="365"/>
      <c r="F15" s="365"/>
      <c r="G15" s="365"/>
      <c r="H15" s="365"/>
      <c r="I15" s="365"/>
    </row>
    <row r="16" spans="1:17" s="42" customFormat="1" ht="19.899999999999999" customHeight="1" x14ac:dyDescent="0.25">
      <c r="A16" s="122"/>
      <c r="B16" s="24" t="s">
        <v>11</v>
      </c>
      <c r="C16" s="361" t="str">
        <f>+C12</f>
        <v>001152014624</v>
      </c>
      <c r="D16" s="361"/>
      <c r="E16" s="361"/>
      <c r="F16" s="43"/>
      <c r="G16" s="43"/>
      <c r="H16" s="43"/>
      <c r="I16" s="43"/>
    </row>
    <row r="17" spans="1:19" s="42" customFormat="1" ht="19.899999999999999" customHeight="1" x14ac:dyDescent="0.25">
      <c r="A17" s="121" t="s">
        <v>12</v>
      </c>
      <c r="B17" s="362" t="s">
        <v>13</v>
      </c>
      <c r="C17" s="362"/>
      <c r="D17" s="362"/>
      <c r="E17" s="362"/>
      <c r="F17" s="362"/>
      <c r="G17" s="362"/>
      <c r="H17" s="362"/>
      <c r="I17" s="362"/>
    </row>
    <row r="18" spans="1:19" s="42" customFormat="1" ht="19.899999999999999" customHeight="1" x14ac:dyDescent="0.25">
      <c r="A18" s="121" t="s">
        <v>4</v>
      </c>
      <c r="B18" s="46" t="s">
        <v>14</v>
      </c>
      <c r="E18" s="43"/>
    </row>
    <row r="19" spans="1:19" s="51" customFormat="1" ht="19.899999999999999" customHeight="1" x14ac:dyDescent="0.25">
      <c r="A19" s="123"/>
      <c r="B19" s="47" t="s">
        <v>15</v>
      </c>
      <c r="C19" s="144" t="s">
        <v>128</v>
      </c>
      <c r="D19" s="363" t="s">
        <v>16</v>
      </c>
      <c r="E19" s="363"/>
      <c r="F19" s="49" t="s">
        <v>119</v>
      </c>
      <c r="G19" s="50"/>
      <c r="I19" s="50"/>
    </row>
    <row r="20" spans="1:19" s="51" customFormat="1" ht="19.899999999999999" customHeight="1" x14ac:dyDescent="0.25">
      <c r="A20" s="123"/>
      <c r="B20" s="47" t="s">
        <v>17</v>
      </c>
      <c r="C20" s="52">
        <v>25.2</v>
      </c>
      <c r="D20" s="50" t="s">
        <v>105</v>
      </c>
      <c r="E20" s="53"/>
      <c r="F20" s="54"/>
      <c r="H20" s="55"/>
      <c r="I20" s="50"/>
    </row>
    <row r="21" spans="1:19" s="51" customFormat="1" ht="19.899999999999999" customHeight="1" x14ac:dyDescent="0.25">
      <c r="A21" s="123"/>
      <c r="B21" s="56" t="s">
        <v>18</v>
      </c>
      <c r="C21" s="57"/>
      <c r="D21" s="50"/>
      <c r="E21" s="53"/>
      <c r="F21" s="50"/>
      <c r="H21" s="55"/>
      <c r="I21" s="50"/>
    </row>
    <row r="22" spans="1:19" s="51" customFormat="1" ht="19.899999999999999" customHeight="1" x14ac:dyDescent="0.25">
      <c r="A22" s="123"/>
      <c r="B22" s="47" t="s">
        <v>19</v>
      </c>
      <c r="C22" s="52">
        <v>25.2</v>
      </c>
      <c r="D22" s="50" t="s">
        <v>105</v>
      </c>
      <c r="E22" s="53"/>
      <c r="F22" s="50"/>
      <c r="H22" s="55"/>
      <c r="I22" s="50"/>
    </row>
    <row r="23" spans="1:19" s="51" customFormat="1" ht="19.899999999999999" customHeight="1" x14ac:dyDescent="0.25">
      <c r="A23" s="123"/>
      <c r="B23" s="47" t="s">
        <v>20</v>
      </c>
      <c r="C23" s="57">
        <f>C20-C22</f>
        <v>0</v>
      </c>
      <c r="D23" s="50" t="s">
        <v>105</v>
      </c>
      <c r="E23" s="53"/>
      <c r="F23" s="50"/>
      <c r="H23" s="55"/>
      <c r="I23" s="50"/>
    </row>
    <row r="24" spans="1:19" s="42" customFormat="1" ht="21" customHeight="1" x14ac:dyDescent="0.25">
      <c r="A24" s="122"/>
      <c r="B24" s="24" t="s">
        <v>21</v>
      </c>
      <c r="C24" s="362" t="s">
        <v>251</v>
      </c>
      <c r="D24" s="362"/>
      <c r="E24" s="362"/>
      <c r="F24" s="362"/>
      <c r="G24" s="362"/>
      <c r="H24" s="362"/>
      <c r="I24" s="362"/>
    </row>
    <row r="25" spans="1:19" s="36" customFormat="1" ht="223.9" customHeight="1" x14ac:dyDescent="0.25">
      <c r="A25" s="39" t="s">
        <v>9</v>
      </c>
      <c r="B25" s="58" t="s">
        <v>73</v>
      </c>
      <c r="C25" s="366" t="s">
        <v>570</v>
      </c>
      <c r="D25" s="367"/>
      <c r="E25" s="367"/>
      <c r="F25" s="367"/>
      <c r="G25" s="367"/>
      <c r="H25" s="367"/>
      <c r="I25" s="367"/>
      <c r="J25" s="133"/>
      <c r="K25" s="133"/>
      <c r="L25" s="59"/>
      <c r="M25" s="59"/>
      <c r="N25" s="59"/>
      <c r="O25" s="59"/>
      <c r="P25" s="59"/>
      <c r="Q25" s="59"/>
      <c r="R25" s="59"/>
      <c r="S25" s="59"/>
    </row>
    <row r="26" spans="1:19" s="36" customFormat="1" ht="21" customHeight="1" x14ac:dyDescent="0.25">
      <c r="A26" s="39" t="s">
        <v>22</v>
      </c>
      <c r="B26" s="364" t="s">
        <v>82</v>
      </c>
      <c r="C26" s="364"/>
      <c r="D26" s="364"/>
      <c r="E26" s="364"/>
      <c r="F26" s="364"/>
      <c r="G26" s="60"/>
      <c r="H26" s="232"/>
      <c r="I26" s="60" t="s">
        <v>55</v>
      </c>
      <c r="J26" s="142"/>
      <c r="K26" s="142"/>
      <c r="L26" s="59"/>
      <c r="M26" s="59"/>
      <c r="N26" s="59"/>
      <c r="O26" s="59"/>
      <c r="P26" s="59"/>
      <c r="Q26" s="59"/>
      <c r="R26" s="59"/>
      <c r="S26" s="59"/>
    </row>
    <row r="27" spans="1:19" s="36" customFormat="1" ht="23.25" customHeight="1" x14ac:dyDescent="0.25">
      <c r="A27" s="39" t="s">
        <v>23</v>
      </c>
      <c r="B27" s="364" t="s">
        <v>65</v>
      </c>
      <c r="C27" s="364"/>
      <c r="D27" s="364"/>
      <c r="E27" s="364"/>
      <c r="F27" s="364"/>
      <c r="G27" s="364"/>
      <c r="H27" s="148" t="s">
        <v>113</v>
      </c>
      <c r="I27" s="60" t="s">
        <v>84</v>
      </c>
      <c r="J27" s="59"/>
      <c r="K27" s="59"/>
      <c r="L27" s="59"/>
      <c r="M27" s="59"/>
      <c r="N27" s="59"/>
      <c r="O27" s="59"/>
      <c r="P27" s="59"/>
      <c r="Q27" s="59"/>
      <c r="R27" s="59"/>
      <c r="S27" s="59"/>
    </row>
    <row r="28" spans="1:19" s="41" customFormat="1" x14ac:dyDescent="0.25">
      <c r="A28" s="39" t="s">
        <v>88</v>
      </c>
      <c r="B28" s="364" t="s">
        <v>87</v>
      </c>
      <c r="C28" s="364"/>
      <c r="D28" s="364"/>
      <c r="E28" s="364"/>
      <c r="F28" s="364"/>
      <c r="G28" s="364"/>
      <c r="H28" s="364"/>
      <c r="I28" s="364"/>
    </row>
    <row r="29" spans="1:19" s="40" customFormat="1" x14ac:dyDescent="0.25">
      <c r="A29" s="39" t="s">
        <v>4</v>
      </c>
      <c r="B29" s="360" t="s">
        <v>24</v>
      </c>
      <c r="C29" s="360"/>
      <c r="D29" s="360"/>
      <c r="E29" s="360"/>
      <c r="F29" s="360"/>
      <c r="G29" s="360"/>
      <c r="H29" s="360"/>
      <c r="I29" s="360"/>
      <c r="J29" s="41"/>
      <c r="K29" s="41"/>
      <c r="L29" s="41"/>
      <c r="M29" s="41"/>
      <c r="N29" s="41"/>
      <c r="O29" s="41"/>
      <c r="P29" s="41"/>
      <c r="Q29" s="41"/>
      <c r="R29" s="41"/>
      <c r="S29" s="41"/>
    </row>
    <row r="30" spans="1:19" s="24" customFormat="1" ht="32.25" customHeight="1" x14ac:dyDescent="0.25">
      <c r="A30" s="351" t="s">
        <v>25</v>
      </c>
      <c r="B30" s="353" t="s">
        <v>26</v>
      </c>
      <c r="C30" s="354"/>
      <c r="D30" s="354"/>
      <c r="E30" s="354"/>
      <c r="F30" s="354"/>
      <c r="G30" s="354"/>
      <c r="H30" s="354"/>
      <c r="I30" s="355"/>
    </row>
    <row r="31" spans="1:19" s="25" customFormat="1" ht="49.5" x14ac:dyDescent="0.25">
      <c r="A31" s="352"/>
      <c r="B31" s="353" t="s">
        <v>27</v>
      </c>
      <c r="C31" s="355"/>
      <c r="D31" s="21" t="s">
        <v>28</v>
      </c>
      <c r="E31" s="22" t="s">
        <v>29</v>
      </c>
      <c r="F31" s="22" t="s">
        <v>30</v>
      </c>
      <c r="G31" s="21" t="s">
        <v>31</v>
      </c>
      <c r="H31" s="22" t="s">
        <v>104</v>
      </c>
      <c r="I31" s="22" t="s">
        <v>33</v>
      </c>
    </row>
    <row r="32" spans="1:19" s="62" customFormat="1" ht="18.75" customHeight="1" x14ac:dyDescent="0.25">
      <c r="A32" s="61">
        <v>1</v>
      </c>
      <c r="B32" s="356">
        <v>2</v>
      </c>
      <c r="C32" s="357"/>
      <c r="D32" s="61">
        <v>3</v>
      </c>
      <c r="E32" s="61">
        <v>4</v>
      </c>
      <c r="F32" s="61">
        <v>5</v>
      </c>
      <c r="G32" s="61">
        <v>6</v>
      </c>
      <c r="H32" s="61">
        <v>7</v>
      </c>
      <c r="I32" s="61">
        <v>8</v>
      </c>
    </row>
    <row r="33" spans="1:9" s="68" customFormat="1" ht="38.450000000000003" customHeight="1" x14ac:dyDescent="0.25">
      <c r="A33" s="63">
        <v>1</v>
      </c>
      <c r="B33" s="358" t="s">
        <v>563</v>
      </c>
      <c r="C33" s="359"/>
      <c r="D33" s="64" t="s">
        <v>106</v>
      </c>
      <c r="E33" s="65">
        <f>C22</f>
        <v>25.2</v>
      </c>
      <c r="F33" s="63"/>
      <c r="G33" s="66"/>
      <c r="H33" s="63">
        <f>E33*F33*G33</f>
        <v>0</v>
      </c>
      <c r="I33" s="67"/>
    </row>
    <row r="34" spans="1:9" s="71" customFormat="1" ht="25.5" customHeight="1" x14ac:dyDescent="0.25">
      <c r="A34" s="69"/>
      <c r="B34" s="349" t="s">
        <v>34</v>
      </c>
      <c r="C34" s="350"/>
      <c r="D34" s="69"/>
      <c r="E34" s="69"/>
      <c r="F34" s="69"/>
      <c r="G34" s="69"/>
      <c r="H34" s="70">
        <f>SUM(H33:H33)</f>
        <v>0</v>
      </c>
      <c r="I34" s="69"/>
    </row>
    <row r="35" spans="1:9" ht="5.25" customHeight="1" x14ac:dyDescent="0.25">
      <c r="A35" s="77"/>
      <c r="B35" s="72"/>
      <c r="C35" s="72"/>
      <c r="D35" s="73"/>
      <c r="E35" s="73"/>
      <c r="F35" s="73"/>
      <c r="G35" s="73"/>
      <c r="H35" s="73"/>
      <c r="I35" s="73"/>
    </row>
    <row r="36" spans="1:9" x14ac:dyDescent="0.25">
      <c r="A36" s="75" t="s">
        <v>9</v>
      </c>
      <c r="B36" s="360" t="s">
        <v>35</v>
      </c>
      <c r="C36" s="360"/>
      <c r="D36" s="360"/>
      <c r="E36" s="360"/>
      <c r="F36" s="360"/>
      <c r="G36" s="360"/>
      <c r="H36" s="360"/>
      <c r="I36" s="360"/>
    </row>
    <row r="37" spans="1:9" s="23" customFormat="1" ht="49.5" x14ac:dyDescent="0.25">
      <c r="A37" s="29" t="s">
        <v>25</v>
      </c>
      <c r="B37" s="353" t="s">
        <v>27</v>
      </c>
      <c r="C37" s="355"/>
      <c r="D37" s="21" t="s">
        <v>28</v>
      </c>
      <c r="E37" s="22" t="s">
        <v>29</v>
      </c>
      <c r="F37" s="22" t="s">
        <v>30</v>
      </c>
      <c r="G37" s="21" t="s">
        <v>31</v>
      </c>
      <c r="H37" s="22" t="s">
        <v>32</v>
      </c>
      <c r="I37" s="22" t="s">
        <v>33</v>
      </c>
    </row>
    <row r="38" spans="1:9" s="62" customFormat="1" ht="18" customHeight="1" x14ac:dyDescent="0.25">
      <c r="A38" s="61">
        <v>1</v>
      </c>
      <c r="B38" s="356">
        <v>2</v>
      </c>
      <c r="C38" s="357"/>
      <c r="D38" s="61">
        <v>3</v>
      </c>
      <c r="E38" s="61">
        <v>4</v>
      </c>
      <c r="F38" s="61">
        <v>5</v>
      </c>
      <c r="G38" s="61">
        <v>6</v>
      </c>
      <c r="H38" s="61">
        <v>7</v>
      </c>
      <c r="I38" s="61">
        <v>8</v>
      </c>
    </row>
    <row r="39" spans="1:9" ht="36" customHeight="1" x14ac:dyDescent="0.25">
      <c r="A39" s="26">
        <v>1</v>
      </c>
      <c r="B39" s="353"/>
      <c r="C39" s="355"/>
      <c r="D39" s="27"/>
      <c r="E39" s="22"/>
      <c r="F39" s="27"/>
      <c r="G39" s="27"/>
      <c r="H39" s="27"/>
      <c r="I39" s="26" t="s">
        <v>36</v>
      </c>
    </row>
    <row r="40" spans="1:9" s="71" customFormat="1" ht="18" customHeight="1" x14ac:dyDescent="0.25">
      <c r="A40" s="69"/>
      <c r="B40" s="349" t="s">
        <v>34</v>
      </c>
      <c r="C40" s="350"/>
      <c r="D40" s="74"/>
      <c r="E40" s="69"/>
      <c r="F40" s="74"/>
      <c r="G40" s="74"/>
      <c r="H40" s="74"/>
      <c r="I40" s="69"/>
    </row>
    <row r="41" spans="1:9" x14ac:dyDescent="0.25">
      <c r="A41" s="124"/>
      <c r="B41" s="75"/>
      <c r="C41" s="75"/>
      <c r="D41" s="76"/>
      <c r="E41" s="75"/>
      <c r="F41" s="76"/>
      <c r="G41" s="76"/>
      <c r="H41" s="76"/>
      <c r="I41" s="75"/>
    </row>
    <row r="42" spans="1:9" x14ac:dyDescent="0.25">
      <c r="A42" s="324"/>
      <c r="B42" s="327" t="s">
        <v>37</v>
      </c>
      <c r="C42" s="328"/>
      <c r="D42" s="328"/>
      <c r="E42" s="328"/>
      <c r="F42" s="328"/>
      <c r="G42" s="329"/>
      <c r="H42" s="27"/>
      <c r="I42" s="26" t="s">
        <v>74</v>
      </c>
    </row>
    <row r="43" spans="1:9" x14ac:dyDescent="0.25">
      <c r="A43" s="325"/>
      <c r="B43" s="330" t="s">
        <v>38</v>
      </c>
      <c r="C43" s="331"/>
      <c r="D43" s="331"/>
      <c r="E43" s="331"/>
      <c r="F43" s="331"/>
      <c r="G43" s="332"/>
      <c r="H43" s="27"/>
      <c r="I43" s="26" t="s">
        <v>74</v>
      </c>
    </row>
    <row r="44" spans="1:9" x14ac:dyDescent="0.25">
      <c r="A44" s="326"/>
      <c r="B44" s="333" t="s">
        <v>39</v>
      </c>
      <c r="C44" s="334"/>
      <c r="D44" s="334"/>
      <c r="E44" s="334"/>
      <c r="F44" s="334"/>
      <c r="G44" s="335"/>
      <c r="H44" s="27"/>
      <c r="I44" s="26" t="s">
        <v>74</v>
      </c>
    </row>
    <row r="45" spans="1:9" ht="9.75" customHeight="1" x14ac:dyDescent="0.25">
      <c r="A45" s="77"/>
      <c r="B45" s="72"/>
      <c r="C45" s="72"/>
      <c r="D45" s="72"/>
      <c r="E45" s="78"/>
      <c r="F45" s="72"/>
      <c r="G45" s="72"/>
      <c r="H45" s="79"/>
      <c r="I45" s="79"/>
    </row>
    <row r="46" spans="1:9" ht="20.25" customHeight="1" x14ac:dyDescent="0.25">
      <c r="A46" s="125" t="s">
        <v>22</v>
      </c>
      <c r="B46" s="336" t="s">
        <v>40</v>
      </c>
      <c r="C46" s="336"/>
      <c r="D46" s="336"/>
      <c r="E46" s="336"/>
      <c r="F46" s="336"/>
      <c r="G46" s="336"/>
      <c r="H46" s="80"/>
      <c r="I46" s="81"/>
    </row>
    <row r="47" spans="1:9" s="30" customFormat="1" ht="49.5" x14ac:dyDescent="0.25">
      <c r="A47" s="21" t="s">
        <v>25</v>
      </c>
      <c r="B47" s="21" t="s">
        <v>41</v>
      </c>
      <c r="C47" s="21" t="s">
        <v>28</v>
      </c>
      <c r="D47" s="21" t="s">
        <v>42</v>
      </c>
      <c r="E47" s="21" t="s">
        <v>43</v>
      </c>
      <c r="F47" s="22" t="s">
        <v>111</v>
      </c>
      <c r="G47" s="21" t="s">
        <v>31</v>
      </c>
      <c r="H47" s="21" t="s">
        <v>45</v>
      </c>
      <c r="I47" s="21" t="s">
        <v>33</v>
      </c>
    </row>
    <row r="48" spans="1:9" s="83" customFormat="1" ht="18" customHeight="1" x14ac:dyDescent="0.25">
      <c r="A48" s="82">
        <v>1</v>
      </c>
      <c r="B48" s="82">
        <v>2</v>
      </c>
      <c r="C48" s="82">
        <v>3</v>
      </c>
      <c r="D48" s="82">
        <v>4</v>
      </c>
      <c r="E48" s="82">
        <v>5</v>
      </c>
      <c r="F48" s="82">
        <v>6</v>
      </c>
      <c r="G48" s="82">
        <v>7</v>
      </c>
      <c r="H48" s="82">
        <v>8</v>
      </c>
      <c r="I48" s="82">
        <v>9</v>
      </c>
    </row>
    <row r="49" spans="1:12" s="89" customFormat="1" ht="30" customHeight="1" x14ac:dyDescent="0.25">
      <c r="A49" s="21" t="s">
        <v>46</v>
      </c>
      <c r="B49" s="84" t="s">
        <v>47</v>
      </c>
      <c r="C49" s="85"/>
      <c r="D49" s="85"/>
      <c r="E49" s="86"/>
      <c r="F49" s="85"/>
      <c r="G49" s="85"/>
      <c r="H49" s="165">
        <f>SUM(H50:H53)</f>
        <v>0</v>
      </c>
      <c r="I49" s="88"/>
    </row>
    <row r="50" spans="1:12" s="89" customFormat="1" ht="31.15" customHeight="1" x14ac:dyDescent="0.25">
      <c r="A50" s="90">
        <v>1</v>
      </c>
      <c r="B50" s="91" t="s">
        <v>90</v>
      </c>
      <c r="C50" s="64" t="s">
        <v>106</v>
      </c>
      <c r="D50" s="96" t="s">
        <v>252</v>
      </c>
      <c r="E50" s="234">
        <f>8*3.4</f>
        <v>27.2</v>
      </c>
      <c r="F50" s="93"/>
      <c r="G50" s="93"/>
      <c r="H50" s="94"/>
      <c r="I50" s="347" t="s">
        <v>110</v>
      </c>
    </row>
    <row r="51" spans="1:12" s="89" customFormat="1" ht="73.150000000000006" customHeight="1" x14ac:dyDescent="0.25">
      <c r="A51" s="90">
        <v>2</v>
      </c>
      <c r="B51" s="91" t="s">
        <v>253</v>
      </c>
      <c r="C51" s="64" t="s">
        <v>106</v>
      </c>
      <c r="D51" s="96" t="s">
        <v>380</v>
      </c>
      <c r="E51" s="234">
        <f>C20</f>
        <v>25.2</v>
      </c>
      <c r="F51" s="93"/>
      <c r="G51" s="93"/>
      <c r="H51" s="94"/>
      <c r="I51" s="348"/>
    </row>
    <row r="52" spans="1:12" s="89" customFormat="1" ht="33.6" customHeight="1" x14ac:dyDescent="0.25">
      <c r="A52" s="90">
        <v>3</v>
      </c>
      <c r="B52" s="91" t="s">
        <v>231</v>
      </c>
      <c r="C52" s="64" t="s">
        <v>106</v>
      </c>
      <c r="D52" s="96" t="s">
        <v>254</v>
      </c>
      <c r="E52" s="234">
        <f>(3.05+3.4)/2*4.4</f>
        <v>14.19</v>
      </c>
      <c r="F52" s="93"/>
      <c r="G52" s="93"/>
      <c r="H52" s="94"/>
      <c r="I52" s="348"/>
    </row>
    <row r="53" spans="1:12" s="89" customFormat="1" ht="34.15" customHeight="1" x14ac:dyDescent="0.25">
      <c r="A53" s="90">
        <v>4</v>
      </c>
      <c r="B53" s="91" t="s">
        <v>95</v>
      </c>
      <c r="C53" s="64" t="s">
        <v>127</v>
      </c>
      <c r="D53" s="96" t="s">
        <v>163</v>
      </c>
      <c r="E53" s="235">
        <v>18</v>
      </c>
      <c r="F53" s="93"/>
      <c r="G53" s="93"/>
      <c r="H53" s="94"/>
      <c r="I53" s="348"/>
    </row>
    <row r="54" spans="1:12" s="89" customFormat="1" ht="25.5" customHeight="1" x14ac:dyDescent="0.25">
      <c r="A54" s="21" t="s">
        <v>48</v>
      </c>
      <c r="B54" s="84" t="s">
        <v>49</v>
      </c>
      <c r="C54" s="85"/>
      <c r="D54" s="85"/>
      <c r="E54" s="92"/>
      <c r="F54" s="85"/>
      <c r="G54" s="85"/>
      <c r="H54" s="87"/>
      <c r="I54" s="95"/>
    </row>
    <row r="55" spans="1:12" s="89" customFormat="1" ht="25.15" customHeight="1" x14ac:dyDescent="0.25">
      <c r="A55" s="90"/>
      <c r="B55" s="91"/>
      <c r="C55" s="93"/>
      <c r="D55" s="90"/>
      <c r="E55" s="92"/>
      <c r="F55" s="97"/>
      <c r="G55" s="98"/>
      <c r="H55" s="97"/>
      <c r="I55" s="156"/>
    </row>
    <row r="56" spans="1:12" s="102" customFormat="1" ht="27.75" customHeight="1" x14ac:dyDescent="0.25">
      <c r="A56" s="126"/>
      <c r="B56" s="100" t="s">
        <v>50</v>
      </c>
      <c r="C56" s="100"/>
      <c r="D56" s="100"/>
      <c r="E56" s="100"/>
      <c r="F56" s="100"/>
      <c r="G56" s="100"/>
      <c r="H56" s="158">
        <f>H49+H54</f>
        <v>0</v>
      </c>
      <c r="I56" s="101"/>
    </row>
    <row r="57" spans="1:12" ht="22.5" customHeight="1" x14ac:dyDescent="0.25">
      <c r="A57" s="127">
        <v>4</v>
      </c>
      <c r="B57" s="337" t="s">
        <v>51</v>
      </c>
      <c r="C57" s="337"/>
      <c r="D57" s="337"/>
      <c r="E57" s="337"/>
      <c r="F57" s="337"/>
      <c r="G57" s="337"/>
      <c r="H57" s="51"/>
      <c r="I57" s="51"/>
    </row>
    <row r="58" spans="1:12" s="104" customFormat="1" ht="49.5" x14ac:dyDescent="0.25">
      <c r="A58" s="103" t="s">
        <v>25</v>
      </c>
      <c r="B58" s="338" t="s">
        <v>52</v>
      </c>
      <c r="C58" s="339"/>
      <c r="D58" s="21" t="s">
        <v>29</v>
      </c>
      <c r="E58" s="21" t="s">
        <v>53</v>
      </c>
      <c r="F58" s="21" t="s">
        <v>44</v>
      </c>
      <c r="G58" s="21" t="s">
        <v>54</v>
      </c>
      <c r="H58" s="21" t="s">
        <v>45</v>
      </c>
      <c r="I58" s="21" t="s">
        <v>33</v>
      </c>
    </row>
    <row r="59" spans="1:12" ht="24" customHeight="1" x14ac:dyDescent="0.25">
      <c r="A59" s="105"/>
      <c r="B59" s="340"/>
      <c r="C59" s="341"/>
      <c r="D59" s="106"/>
      <c r="E59" s="105"/>
      <c r="F59" s="107"/>
      <c r="G59" s="108"/>
      <c r="H59" s="108"/>
      <c r="I59" s="109"/>
      <c r="L59" s="110"/>
    </row>
    <row r="60" spans="1:12" s="112" customFormat="1" ht="27.75" customHeight="1" x14ac:dyDescent="0.25">
      <c r="A60" s="126"/>
      <c r="B60" s="342" t="s">
        <v>34</v>
      </c>
      <c r="C60" s="343"/>
      <c r="D60" s="100"/>
      <c r="E60" s="100"/>
      <c r="F60" s="100"/>
      <c r="G60" s="100"/>
      <c r="H60" s="163">
        <f>SUM(H59)</f>
        <v>0</v>
      </c>
      <c r="I60" s="111"/>
      <c r="L60" s="113"/>
    </row>
    <row r="61" spans="1:12" s="115" customFormat="1" ht="27.75" customHeight="1" x14ac:dyDescent="0.25">
      <c r="A61" s="128">
        <v>5</v>
      </c>
      <c r="B61" s="344" t="s">
        <v>56</v>
      </c>
      <c r="C61" s="344"/>
      <c r="D61" s="344"/>
      <c r="E61" s="344"/>
      <c r="F61" s="344"/>
      <c r="G61" s="345"/>
      <c r="H61" s="164">
        <f>H60+H56+H40+H34</f>
        <v>0</v>
      </c>
      <c r="I61" s="114" t="s">
        <v>57</v>
      </c>
    </row>
    <row r="62" spans="1:12" s="117" customFormat="1" ht="17.25" x14ac:dyDescent="0.25">
      <c r="A62" s="129"/>
      <c r="B62" s="116" t="s">
        <v>78</v>
      </c>
      <c r="C62" s="346" t="s">
        <v>91</v>
      </c>
      <c r="D62" s="346"/>
      <c r="E62" s="346"/>
      <c r="F62" s="346"/>
      <c r="G62" s="346"/>
      <c r="H62" s="346"/>
      <c r="I62" s="346"/>
    </row>
    <row r="63" spans="1:12" s="41" customFormat="1" ht="17.25" hidden="1" x14ac:dyDescent="0.3">
      <c r="A63" s="39"/>
      <c r="B63" s="118"/>
      <c r="E63" s="119"/>
      <c r="F63" s="316" t="s">
        <v>75</v>
      </c>
      <c r="G63" s="316"/>
      <c r="H63" s="316"/>
      <c r="I63" s="316"/>
    </row>
    <row r="64" spans="1:12" hidden="1" x14ac:dyDescent="0.25">
      <c r="F64" s="316" t="s">
        <v>76</v>
      </c>
      <c r="G64" s="316"/>
      <c r="H64" s="316"/>
      <c r="I64" s="316"/>
    </row>
    <row r="65" spans="1:9" hidden="1" x14ac:dyDescent="0.25">
      <c r="F65" s="317"/>
      <c r="G65" s="317"/>
      <c r="H65" s="317"/>
      <c r="I65" s="317"/>
    </row>
    <row r="66" spans="1:9" hidden="1" x14ac:dyDescent="0.25"/>
    <row r="67" spans="1:9" hidden="1" x14ac:dyDescent="0.25"/>
    <row r="68" spans="1:9" hidden="1" x14ac:dyDescent="0.25"/>
    <row r="69" spans="1:9" hidden="1" x14ac:dyDescent="0.25"/>
    <row r="70" spans="1:9" hidden="1" x14ac:dyDescent="0.25"/>
    <row r="71" spans="1:9" hidden="1" x14ac:dyDescent="0.25">
      <c r="F71" s="318" t="s">
        <v>77</v>
      </c>
      <c r="G71" s="318"/>
      <c r="H71" s="318"/>
      <c r="I71" s="318"/>
    </row>
    <row r="72" spans="1:9" ht="55.5" customHeight="1" x14ac:dyDescent="0.25">
      <c r="A72" s="319" t="s">
        <v>100</v>
      </c>
      <c r="B72" s="319"/>
      <c r="C72" s="319"/>
      <c r="D72" s="319"/>
      <c r="E72" s="319"/>
      <c r="F72" s="319"/>
      <c r="G72" s="319"/>
      <c r="H72" s="319"/>
      <c r="I72" s="319"/>
    </row>
    <row r="73" spans="1:9" x14ac:dyDescent="0.25">
      <c r="A73" s="315" t="s">
        <v>102</v>
      </c>
      <c r="B73" s="315"/>
      <c r="C73" s="315"/>
      <c r="D73" s="315"/>
      <c r="E73" s="315"/>
      <c r="F73" s="315"/>
      <c r="G73" s="315"/>
      <c r="H73" s="315"/>
      <c r="I73" s="315"/>
    </row>
    <row r="74" spans="1:9" x14ac:dyDescent="0.25">
      <c r="A74" s="320" t="s">
        <v>117</v>
      </c>
      <c r="B74" s="320"/>
      <c r="C74" s="320"/>
      <c r="D74" s="321"/>
      <c r="E74" s="322" t="s">
        <v>103</v>
      </c>
      <c r="F74" s="323"/>
      <c r="G74" s="323"/>
      <c r="H74" s="323"/>
      <c r="I74" s="323"/>
    </row>
    <row r="75" spans="1:9" x14ac:dyDescent="0.25">
      <c r="A75" s="320"/>
      <c r="B75" s="320"/>
      <c r="C75" s="320"/>
      <c r="D75" s="321"/>
      <c r="E75" s="322"/>
      <c r="F75" s="323"/>
      <c r="G75" s="323"/>
      <c r="H75" s="323"/>
      <c r="I75" s="323"/>
    </row>
    <row r="76" spans="1:9" x14ac:dyDescent="0.25">
      <c r="A76" s="320"/>
      <c r="B76" s="320"/>
      <c r="C76" s="320"/>
      <c r="D76" s="321"/>
      <c r="E76" s="38"/>
      <c r="I76" s="20"/>
    </row>
    <row r="77" spans="1:9" x14ac:dyDescent="0.25">
      <c r="A77" s="315" t="s">
        <v>101</v>
      </c>
      <c r="B77" s="315"/>
      <c r="C77" s="315"/>
      <c r="D77" s="315"/>
      <c r="E77" s="315"/>
      <c r="F77" s="315"/>
      <c r="G77" s="315"/>
      <c r="H77" s="315"/>
      <c r="I77" s="315"/>
    </row>
  </sheetData>
  <mergeCells count="59">
    <mergeCell ref="A1:D1"/>
    <mergeCell ref="E1:I1"/>
    <mergeCell ref="A2:D2"/>
    <mergeCell ref="E2:I2"/>
    <mergeCell ref="E4:I4"/>
    <mergeCell ref="A4:D4"/>
    <mergeCell ref="C15:I15"/>
    <mergeCell ref="C16:E16"/>
    <mergeCell ref="B17:I17"/>
    <mergeCell ref="D19:E19"/>
    <mergeCell ref="A5:I5"/>
    <mergeCell ref="A6:I6"/>
    <mergeCell ref="A7:I7"/>
    <mergeCell ref="B8:I8"/>
    <mergeCell ref="B9:E9"/>
    <mergeCell ref="F9:I9"/>
    <mergeCell ref="C10:I10"/>
    <mergeCell ref="C11:I11"/>
    <mergeCell ref="C12:E12"/>
    <mergeCell ref="F13:I13"/>
    <mergeCell ref="C14:I14"/>
    <mergeCell ref="C24:I24"/>
    <mergeCell ref="C25:I25"/>
    <mergeCell ref="B38:C38"/>
    <mergeCell ref="B27:G27"/>
    <mergeCell ref="B28:I28"/>
    <mergeCell ref="B29:I29"/>
    <mergeCell ref="B36:I36"/>
    <mergeCell ref="B37:C37"/>
    <mergeCell ref="B26:F26"/>
    <mergeCell ref="A42:A44"/>
    <mergeCell ref="B42:G42"/>
    <mergeCell ref="B43:G43"/>
    <mergeCell ref="B44:G44"/>
    <mergeCell ref="A30:A31"/>
    <mergeCell ref="B30:I30"/>
    <mergeCell ref="B31:C31"/>
    <mergeCell ref="B32:C32"/>
    <mergeCell ref="B33:C33"/>
    <mergeCell ref="B34:C34"/>
    <mergeCell ref="I50:I53"/>
    <mergeCell ref="B61:G61"/>
    <mergeCell ref="C62:I62"/>
    <mergeCell ref="B39:C39"/>
    <mergeCell ref="B40:C40"/>
    <mergeCell ref="B46:G46"/>
    <mergeCell ref="B57:G57"/>
    <mergeCell ref="B58:C58"/>
    <mergeCell ref="B59:C59"/>
    <mergeCell ref="B60:C60"/>
    <mergeCell ref="A77:I77"/>
    <mergeCell ref="F63:I63"/>
    <mergeCell ref="F64:I64"/>
    <mergeCell ref="A72:I72"/>
    <mergeCell ref="A73:I73"/>
    <mergeCell ref="A74:D76"/>
    <mergeCell ref="E74:I75"/>
    <mergeCell ref="F65:I65"/>
    <mergeCell ref="F71:I71"/>
  </mergeCells>
  <printOptions horizontalCentered="1"/>
  <pageMargins left="0.11811023622047245" right="0.11811023622047245" top="0.19685039370078741" bottom="0.15748031496062992" header="0.19685039370078741" footer="0.15748031496062992"/>
  <pageSetup paperSize="9" scale="80" orientation="portrait"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79"/>
  <sheetViews>
    <sheetView topLeftCell="A4" workbookViewId="0">
      <selection activeCell="B33" sqref="B33:C33"/>
    </sheetView>
  </sheetViews>
  <sheetFormatPr defaultColWidth="9.140625" defaultRowHeight="16.5" x14ac:dyDescent="0.25"/>
  <cols>
    <col min="1" max="1" width="4.42578125" style="68" customWidth="1"/>
    <col min="2" max="2" width="27.140625" style="20" customWidth="1"/>
    <col min="3" max="3" width="8.42578125" style="20" customWidth="1"/>
    <col min="4" max="4" width="22.7109375" style="20" customWidth="1"/>
    <col min="5" max="5" width="10.7109375" style="23" customWidth="1"/>
    <col min="6" max="6" width="11.140625" style="20" customWidth="1"/>
    <col min="7" max="7" width="9.42578125" style="20" customWidth="1"/>
    <col min="8" max="8" width="15.140625" style="20" customWidth="1"/>
    <col min="9" max="9" width="15.7109375" style="120" customWidth="1"/>
    <col min="10" max="10" width="9.140625" style="20" customWidth="1"/>
    <col min="11" max="11" width="56.42578125" style="20" customWidth="1"/>
    <col min="12" max="12" width="11.42578125" style="20" customWidth="1"/>
    <col min="13" max="19" width="9.140625" style="20" customWidth="1"/>
    <col min="20" max="16384" width="9.140625" style="20"/>
  </cols>
  <sheetData>
    <row r="1" spans="1:17" s="36" customFormat="1" x14ac:dyDescent="0.25">
      <c r="A1" s="368" t="s">
        <v>98</v>
      </c>
      <c r="B1" s="368"/>
      <c r="C1" s="368"/>
      <c r="D1" s="368"/>
      <c r="E1" s="368" t="s">
        <v>0</v>
      </c>
      <c r="F1" s="368"/>
      <c r="G1" s="368"/>
      <c r="H1" s="368"/>
      <c r="I1" s="368"/>
    </row>
    <row r="2" spans="1:17" s="36" customFormat="1" x14ac:dyDescent="0.25">
      <c r="A2" s="369" t="s">
        <v>99</v>
      </c>
      <c r="B2" s="369"/>
      <c r="C2" s="369"/>
      <c r="D2" s="369"/>
      <c r="E2" s="369" t="s">
        <v>1</v>
      </c>
      <c r="F2" s="368"/>
      <c r="G2" s="368"/>
      <c r="H2" s="368"/>
      <c r="I2" s="368"/>
    </row>
    <row r="3" spans="1:17" s="36" customFormat="1" ht="15.75" customHeight="1" x14ac:dyDescent="0.25">
      <c r="A3" s="39"/>
      <c r="C3" s="39"/>
      <c r="D3" s="39"/>
      <c r="E3" s="39"/>
      <c r="F3" s="39"/>
      <c r="G3" s="39"/>
      <c r="H3" s="39"/>
      <c r="I3" s="37"/>
    </row>
    <row r="4" spans="1:17" s="36" customFormat="1" ht="21.75" customHeight="1" x14ac:dyDescent="0.25">
      <c r="A4" s="369" t="s">
        <v>89</v>
      </c>
      <c r="B4" s="369"/>
      <c r="C4" s="369"/>
      <c r="D4" s="369"/>
      <c r="E4" s="370" t="s">
        <v>185</v>
      </c>
      <c r="F4" s="370"/>
      <c r="G4" s="370"/>
      <c r="H4" s="370"/>
      <c r="I4" s="370"/>
    </row>
    <row r="5" spans="1:17" s="40" customFormat="1" ht="24" customHeight="1" x14ac:dyDescent="0.25">
      <c r="A5" s="371" t="s">
        <v>85</v>
      </c>
      <c r="B5" s="371"/>
      <c r="C5" s="371"/>
      <c r="D5" s="371"/>
      <c r="E5" s="371"/>
      <c r="F5" s="371"/>
      <c r="G5" s="371"/>
      <c r="H5" s="371"/>
      <c r="I5" s="371"/>
    </row>
    <row r="6" spans="1:17" s="40" customFormat="1" ht="36.75" customHeight="1" x14ac:dyDescent="0.25">
      <c r="A6" s="372" t="s">
        <v>86</v>
      </c>
      <c r="B6" s="372"/>
      <c r="C6" s="372"/>
      <c r="D6" s="372"/>
      <c r="E6" s="372"/>
      <c r="F6" s="372"/>
      <c r="G6" s="372"/>
      <c r="H6" s="372"/>
      <c r="I6" s="372"/>
      <c r="Q6" s="41"/>
    </row>
    <row r="7" spans="1:17" s="40" customFormat="1" ht="20.25" customHeight="1" x14ac:dyDescent="0.25">
      <c r="A7" s="373" t="s">
        <v>166</v>
      </c>
      <c r="B7" s="373"/>
      <c r="C7" s="373"/>
      <c r="D7" s="373"/>
      <c r="E7" s="373"/>
      <c r="F7" s="373"/>
      <c r="G7" s="373"/>
      <c r="H7" s="373"/>
      <c r="I7" s="373"/>
    </row>
    <row r="8" spans="1:17" s="42" customFormat="1" ht="19.899999999999999" customHeight="1" x14ac:dyDescent="0.25">
      <c r="A8" s="121" t="s">
        <v>2</v>
      </c>
      <c r="B8" s="362" t="s">
        <v>3</v>
      </c>
      <c r="C8" s="362"/>
      <c r="D8" s="362"/>
      <c r="E8" s="362"/>
      <c r="F8" s="362"/>
      <c r="G8" s="362"/>
      <c r="H8" s="362"/>
      <c r="I8" s="362"/>
    </row>
    <row r="9" spans="1:17" s="42" customFormat="1" ht="19.899999999999999" customHeight="1" x14ac:dyDescent="0.25">
      <c r="A9" s="121" t="s">
        <v>4</v>
      </c>
      <c r="B9" s="374" t="s">
        <v>5</v>
      </c>
      <c r="C9" s="374"/>
      <c r="D9" s="374"/>
      <c r="E9" s="374"/>
      <c r="F9" s="365" t="s">
        <v>255</v>
      </c>
      <c r="G9" s="365"/>
      <c r="H9" s="365"/>
      <c r="I9" s="365"/>
    </row>
    <row r="10" spans="1:17" s="42" customFormat="1" ht="19.899999999999999" customHeight="1" x14ac:dyDescent="0.25">
      <c r="A10" s="122"/>
      <c r="B10" s="24" t="s">
        <v>6</v>
      </c>
      <c r="C10" s="365" t="s">
        <v>150</v>
      </c>
      <c r="D10" s="365"/>
      <c r="E10" s="365"/>
      <c r="F10" s="365"/>
      <c r="G10" s="365"/>
      <c r="H10" s="365"/>
      <c r="I10" s="365"/>
    </row>
    <row r="11" spans="1:17" s="42" customFormat="1" ht="19.899999999999999" customHeight="1" x14ac:dyDescent="0.25">
      <c r="A11" s="122"/>
      <c r="B11" s="24" t="s">
        <v>7</v>
      </c>
      <c r="C11" s="365" t="s">
        <v>150</v>
      </c>
      <c r="D11" s="365"/>
      <c r="E11" s="365"/>
      <c r="F11" s="365"/>
      <c r="G11" s="365"/>
      <c r="H11" s="365"/>
      <c r="I11" s="365"/>
    </row>
    <row r="12" spans="1:17" s="42" customFormat="1" ht="19.899999999999999" customHeight="1" x14ac:dyDescent="0.25">
      <c r="A12" s="122"/>
      <c r="B12" s="24" t="s">
        <v>11</v>
      </c>
      <c r="C12" s="361" t="s">
        <v>256</v>
      </c>
      <c r="D12" s="361"/>
      <c r="E12" s="361"/>
      <c r="F12" s="43"/>
      <c r="G12" s="43"/>
      <c r="H12" s="43"/>
      <c r="I12" s="43"/>
    </row>
    <row r="13" spans="1:17" s="42" customFormat="1" ht="19.899999999999999" customHeight="1" x14ac:dyDescent="0.25">
      <c r="A13" s="121" t="s">
        <v>9</v>
      </c>
      <c r="B13" s="44" t="s">
        <v>10</v>
      </c>
      <c r="E13" s="43"/>
      <c r="F13" s="362" t="str">
        <f>F9</f>
        <v>Nguyễn Văn Chiến</v>
      </c>
      <c r="G13" s="362"/>
      <c r="H13" s="362"/>
      <c r="I13" s="362"/>
      <c r="J13" s="143"/>
    </row>
    <row r="14" spans="1:17" s="42" customFormat="1" ht="19.899999999999999" customHeight="1" x14ac:dyDescent="0.25">
      <c r="A14" s="122"/>
      <c r="B14" s="24" t="s">
        <v>6</v>
      </c>
      <c r="C14" s="365" t="str">
        <f>+C10</f>
        <v>Thôn Phố Gốt- xã Phú Nghĩa - TP Hà Nội</v>
      </c>
      <c r="D14" s="365"/>
      <c r="E14" s="365"/>
      <c r="F14" s="365"/>
      <c r="G14" s="365"/>
      <c r="H14" s="365"/>
      <c r="I14" s="365"/>
    </row>
    <row r="15" spans="1:17" s="42" customFormat="1" ht="19.899999999999999" customHeight="1" x14ac:dyDescent="0.25">
      <c r="A15" s="122"/>
      <c r="B15" s="24" t="s">
        <v>7</v>
      </c>
      <c r="C15" s="365" t="str">
        <f>C11</f>
        <v>Thôn Phố Gốt- xã Phú Nghĩa - TP Hà Nội</v>
      </c>
      <c r="D15" s="365"/>
      <c r="E15" s="365"/>
      <c r="F15" s="365"/>
      <c r="G15" s="365"/>
      <c r="H15" s="365"/>
      <c r="I15" s="365"/>
    </row>
    <row r="16" spans="1:17" s="42" customFormat="1" ht="19.899999999999999" customHeight="1" x14ac:dyDescent="0.25">
      <c r="A16" s="122"/>
      <c r="B16" s="24" t="s">
        <v>11</v>
      </c>
      <c r="C16" s="361" t="str">
        <f>+C12</f>
        <v>001050018475</v>
      </c>
      <c r="D16" s="361"/>
      <c r="E16" s="361"/>
      <c r="F16" s="43"/>
      <c r="G16" s="43"/>
      <c r="H16" s="43"/>
      <c r="I16" s="43"/>
    </row>
    <row r="17" spans="1:19" s="42" customFormat="1" ht="19.899999999999999" customHeight="1" x14ac:dyDescent="0.25">
      <c r="A17" s="121" t="s">
        <v>12</v>
      </c>
      <c r="B17" s="362" t="s">
        <v>13</v>
      </c>
      <c r="C17" s="362"/>
      <c r="D17" s="362"/>
      <c r="E17" s="362"/>
      <c r="F17" s="362"/>
      <c r="G17" s="362"/>
      <c r="H17" s="362"/>
      <c r="I17" s="362"/>
    </row>
    <row r="18" spans="1:19" s="42" customFormat="1" ht="19.899999999999999" customHeight="1" x14ac:dyDescent="0.25">
      <c r="A18" s="121" t="s">
        <v>4</v>
      </c>
      <c r="B18" s="46" t="s">
        <v>14</v>
      </c>
      <c r="E18" s="43"/>
    </row>
    <row r="19" spans="1:19" s="51" customFormat="1" ht="19.899999999999999" customHeight="1" x14ac:dyDescent="0.25">
      <c r="A19" s="123"/>
      <c r="B19" s="47" t="s">
        <v>15</v>
      </c>
      <c r="C19" s="144" t="s">
        <v>130</v>
      </c>
      <c r="D19" s="363" t="s">
        <v>16</v>
      </c>
      <c r="E19" s="363"/>
      <c r="F19" s="49" t="s">
        <v>128</v>
      </c>
      <c r="G19" s="50"/>
      <c r="I19" s="50"/>
    </row>
    <row r="20" spans="1:19" s="51" customFormat="1" ht="19.899999999999999" customHeight="1" x14ac:dyDescent="0.25">
      <c r="A20" s="123"/>
      <c r="B20" s="47" t="s">
        <v>17</v>
      </c>
      <c r="C20" s="52">
        <v>26.6</v>
      </c>
      <c r="D20" s="50" t="s">
        <v>105</v>
      </c>
      <c r="E20" s="53"/>
      <c r="F20" s="54"/>
      <c r="H20" s="55"/>
      <c r="I20" s="50"/>
    </row>
    <row r="21" spans="1:19" s="51" customFormat="1" ht="19.899999999999999" customHeight="1" x14ac:dyDescent="0.25">
      <c r="A21" s="123"/>
      <c r="B21" s="56" t="s">
        <v>18</v>
      </c>
      <c r="C21" s="57"/>
      <c r="D21" s="50"/>
      <c r="E21" s="53"/>
      <c r="F21" s="50"/>
      <c r="H21" s="55"/>
      <c r="I21" s="50"/>
    </row>
    <row r="22" spans="1:19" s="51" customFormat="1" ht="19.899999999999999" customHeight="1" x14ac:dyDescent="0.25">
      <c r="A22" s="123"/>
      <c r="B22" s="47" t="s">
        <v>19</v>
      </c>
      <c r="C22" s="52">
        <v>26.6</v>
      </c>
      <c r="D22" s="50" t="s">
        <v>105</v>
      </c>
      <c r="E22" s="53"/>
      <c r="F22" s="50"/>
      <c r="H22" s="55"/>
      <c r="I22" s="50"/>
    </row>
    <row r="23" spans="1:19" s="51" customFormat="1" ht="18" customHeight="1" x14ac:dyDescent="0.25">
      <c r="A23" s="123"/>
      <c r="B23" s="47" t="s">
        <v>20</v>
      </c>
      <c r="C23" s="57">
        <f>C20-C22</f>
        <v>0</v>
      </c>
      <c r="D23" s="50" t="s">
        <v>105</v>
      </c>
      <c r="E23" s="53"/>
      <c r="F23" s="50"/>
      <c r="H23" s="55"/>
      <c r="I23" s="50"/>
    </row>
    <row r="24" spans="1:19" s="42" customFormat="1" ht="22.9" customHeight="1" x14ac:dyDescent="0.25">
      <c r="A24" s="122"/>
      <c r="B24" s="24" t="s">
        <v>21</v>
      </c>
      <c r="C24" s="362" t="s">
        <v>251</v>
      </c>
      <c r="D24" s="362"/>
      <c r="E24" s="362"/>
      <c r="F24" s="362"/>
      <c r="G24" s="362"/>
      <c r="H24" s="362"/>
      <c r="I24" s="362"/>
    </row>
    <row r="25" spans="1:19" s="36" customFormat="1" ht="243" customHeight="1" x14ac:dyDescent="0.25">
      <c r="A25" s="39" t="s">
        <v>9</v>
      </c>
      <c r="B25" s="58" t="s">
        <v>73</v>
      </c>
      <c r="C25" s="366" t="s">
        <v>571</v>
      </c>
      <c r="D25" s="367"/>
      <c r="E25" s="367"/>
      <c r="F25" s="367"/>
      <c r="G25" s="367"/>
      <c r="H25" s="367"/>
      <c r="I25" s="367"/>
      <c r="J25" s="133"/>
      <c r="K25" s="133"/>
      <c r="L25" s="59"/>
      <c r="M25" s="59"/>
      <c r="N25" s="59"/>
      <c r="O25" s="59"/>
      <c r="P25" s="59"/>
      <c r="Q25" s="59"/>
      <c r="R25" s="59"/>
      <c r="S25" s="59"/>
    </row>
    <row r="26" spans="1:19" s="36" customFormat="1" ht="21" customHeight="1" x14ac:dyDescent="0.25">
      <c r="A26" s="39" t="s">
        <v>22</v>
      </c>
      <c r="B26" s="364" t="s">
        <v>82</v>
      </c>
      <c r="C26" s="364"/>
      <c r="D26" s="364"/>
      <c r="E26" s="364"/>
      <c r="F26" s="364"/>
      <c r="G26" s="60"/>
      <c r="H26" s="149" t="s">
        <v>112</v>
      </c>
      <c r="I26" s="60" t="s">
        <v>55</v>
      </c>
      <c r="J26" s="142"/>
      <c r="K26" s="142"/>
      <c r="L26" s="59"/>
      <c r="M26" s="59"/>
      <c r="N26" s="59"/>
      <c r="O26" s="59"/>
      <c r="P26" s="59"/>
      <c r="Q26" s="59"/>
      <c r="R26" s="59"/>
      <c r="S26" s="59"/>
    </row>
    <row r="27" spans="1:19" s="36" customFormat="1" ht="23.25" customHeight="1" x14ac:dyDescent="0.25">
      <c r="A27" s="39" t="s">
        <v>23</v>
      </c>
      <c r="B27" s="364" t="s">
        <v>65</v>
      </c>
      <c r="C27" s="364"/>
      <c r="D27" s="364"/>
      <c r="E27" s="364"/>
      <c r="F27" s="364"/>
      <c r="G27" s="364"/>
      <c r="H27" s="148" t="s">
        <v>128</v>
      </c>
      <c r="I27" s="60" t="s">
        <v>84</v>
      </c>
      <c r="J27" s="59"/>
      <c r="K27" s="59"/>
      <c r="L27" s="59"/>
      <c r="M27" s="59"/>
      <c r="N27" s="59"/>
      <c r="O27" s="59"/>
      <c r="P27" s="59"/>
      <c r="Q27" s="59"/>
      <c r="R27" s="59"/>
      <c r="S27" s="59"/>
    </row>
    <row r="28" spans="1:19" s="41" customFormat="1" x14ac:dyDescent="0.25">
      <c r="A28" s="39" t="s">
        <v>88</v>
      </c>
      <c r="B28" s="364" t="s">
        <v>87</v>
      </c>
      <c r="C28" s="364"/>
      <c r="D28" s="364"/>
      <c r="E28" s="364"/>
      <c r="F28" s="364"/>
      <c r="G28" s="364"/>
      <c r="H28" s="364"/>
      <c r="I28" s="364"/>
    </row>
    <row r="29" spans="1:19" s="40" customFormat="1" x14ac:dyDescent="0.25">
      <c r="A29" s="39" t="s">
        <v>4</v>
      </c>
      <c r="B29" s="360" t="s">
        <v>24</v>
      </c>
      <c r="C29" s="360"/>
      <c r="D29" s="360"/>
      <c r="E29" s="360"/>
      <c r="F29" s="360"/>
      <c r="G29" s="360"/>
      <c r="H29" s="360"/>
      <c r="I29" s="360"/>
      <c r="J29" s="41"/>
      <c r="K29" s="41"/>
      <c r="L29" s="41"/>
      <c r="M29" s="41"/>
      <c r="N29" s="41"/>
      <c r="O29" s="41"/>
      <c r="P29" s="41"/>
      <c r="Q29" s="41"/>
      <c r="R29" s="41"/>
      <c r="S29" s="41"/>
    </row>
    <row r="30" spans="1:19" s="24" customFormat="1" ht="32.25" customHeight="1" x14ac:dyDescent="0.25">
      <c r="A30" s="351" t="s">
        <v>25</v>
      </c>
      <c r="B30" s="353" t="s">
        <v>26</v>
      </c>
      <c r="C30" s="354"/>
      <c r="D30" s="354"/>
      <c r="E30" s="354"/>
      <c r="F30" s="354"/>
      <c r="G30" s="354"/>
      <c r="H30" s="354"/>
      <c r="I30" s="355"/>
    </row>
    <row r="31" spans="1:19" s="25" customFormat="1" ht="49.5" x14ac:dyDescent="0.25">
      <c r="A31" s="352"/>
      <c r="B31" s="353" t="s">
        <v>27</v>
      </c>
      <c r="C31" s="355"/>
      <c r="D31" s="21" t="s">
        <v>28</v>
      </c>
      <c r="E31" s="22" t="s">
        <v>29</v>
      </c>
      <c r="F31" s="22" t="s">
        <v>30</v>
      </c>
      <c r="G31" s="21" t="s">
        <v>31</v>
      </c>
      <c r="H31" s="22" t="s">
        <v>104</v>
      </c>
      <c r="I31" s="22" t="s">
        <v>33</v>
      </c>
    </row>
    <row r="32" spans="1:19" s="62" customFormat="1" ht="18.75" customHeight="1" x14ac:dyDescent="0.25">
      <c r="A32" s="61">
        <v>1</v>
      </c>
      <c r="B32" s="356">
        <v>2</v>
      </c>
      <c r="C32" s="357"/>
      <c r="D32" s="61">
        <v>3</v>
      </c>
      <c r="E32" s="61">
        <v>4</v>
      </c>
      <c r="F32" s="61">
        <v>5</v>
      </c>
      <c r="G32" s="61">
        <v>6</v>
      </c>
      <c r="H32" s="61">
        <v>7</v>
      </c>
      <c r="I32" s="61">
        <v>8</v>
      </c>
    </row>
    <row r="33" spans="1:9" s="68" customFormat="1" ht="36" customHeight="1" x14ac:dyDescent="0.25">
      <c r="A33" s="63">
        <v>1</v>
      </c>
      <c r="B33" s="358" t="s">
        <v>563</v>
      </c>
      <c r="C33" s="359"/>
      <c r="D33" s="64" t="s">
        <v>106</v>
      </c>
      <c r="E33" s="65">
        <f>C22</f>
        <v>26.6</v>
      </c>
      <c r="F33" s="63"/>
      <c r="G33" s="66"/>
      <c r="H33" s="63">
        <f>E33*F33*G33</f>
        <v>0</v>
      </c>
      <c r="I33" s="67"/>
    </row>
    <row r="34" spans="1:9" s="71" customFormat="1" ht="25.5" customHeight="1" x14ac:dyDescent="0.25">
      <c r="A34" s="69"/>
      <c r="B34" s="349" t="s">
        <v>34</v>
      </c>
      <c r="C34" s="350"/>
      <c r="D34" s="69"/>
      <c r="E34" s="69"/>
      <c r="F34" s="69"/>
      <c r="G34" s="69"/>
      <c r="H34" s="70">
        <f>SUM(H33:H33)</f>
        <v>0</v>
      </c>
      <c r="I34" s="69"/>
    </row>
    <row r="35" spans="1:9" ht="5.25" customHeight="1" x14ac:dyDescent="0.25">
      <c r="A35" s="77"/>
      <c r="B35" s="72"/>
      <c r="C35" s="72"/>
      <c r="D35" s="73"/>
      <c r="E35" s="73"/>
      <c r="F35" s="73"/>
      <c r="G35" s="73"/>
      <c r="H35" s="73"/>
      <c r="I35" s="73"/>
    </row>
    <row r="36" spans="1:9" x14ac:dyDescent="0.25">
      <c r="A36" s="75" t="s">
        <v>9</v>
      </c>
      <c r="B36" s="360" t="s">
        <v>35</v>
      </c>
      <c r="C36" s="360"/>
      <c r="D36" s="360"/>
      <c r="E36" s="360"/>
      <c r="F36" s="360"/>
      <c r="G36" s="360"/>
      <c r="H36" s="360"/>
      <c r="I36" s="360"/>
    </row>
    <row r="37" spans="1:9" s="23" customFormat="1" ht="49.5" x14ac:dyDescent="0.25">
      <c r="A37" s="29" t="s">
        <v>25</v>
      </c>
      <c r="B37" s="353" t="s">
        <v>27</v>
      </c>
      <c r="C37" s="355"/>
      <c r="D37" s="21" t="s">
        <v>28</v>
      </c>
      <c r="E37" s="22" t="s">
        <v>29</v>
      </c>
      <c r="F37" s="22" t="s">
        <v>30</v>
      </c>
      <c r="G37" s="21" t="s">
        <v>31</v>
      </c>
      <c r="H37" s="22" t="s">
        <v>32</v>
      </c>
      <c r="I37" s="22" t="s">
        <v>33</v>
      </c>
    </row>
    <row r="38" spans="1:9" s="62" customFormat="1" ht="18" customHeight="1" x14ac:dyDescent="0.25">
      <c r="A38" s="61">
        <v>1</v>
      </c>
      <c r="B38" s="356">
        <v>2</v>
      </c>
      <c r="C38" s="357"/>
      <c r="D38" s="61">
        <v>3</v>
      </c>
      <c r="E38" s="61">
        <v>4</v>
      </c>
      <c r="F38" s="61">
        <v>5</v>
      </c>
      <c r="G38" s="61">
        <v>6</v>
      </c>
      <c r="H38" s="61">
        <v>7</v>
      </c>
      <c r="I38" s="61">
        <v>8</v>
      </c>
    </row>
    <row r="39" spans="1:9" ht="36" customHeight="1" x14ac:dyDescent="0.25">
      <c r="A39" s="26">
        <v>1</v>
      </c>
      <c r="B39" s="353"/>
      <c r="C39" s="355"/>
      <c r="D39" s="27"/>
      <c r="E39" s="22"/>
      <c r="F39" s="27"/>
      <c r="G39" s="27"/>
      <c r="H39" s="27"/>
      <c r="I39" s="26" t="s">
        <v>36</v>
      </c>
    </row>
    <row r="40" spans="1:9" s="71" customFormat="1" ht="18" customHeight="1" x14ac:dyDescent="0.25">
      <c r="A40" s="69"/>
      <c r="B40" s="349" t="s">
        <v>34</v>
      </c>
      <c r="C40" s="350"/>
      <c r="D40" s="74"/>
      <c r="E40" s="69"/>
      <c r="F40" s="74"/>
      <c r="G40" s="74"/>
      <c r="H40" s="74"/>
      <c r="I40" s="69"/>
    </row>
    <row r="41" spans="1:9" x14ac:dyDescent="0.25">
      <c r="A41" s="124"/>
      <c r="B41" s="75"/>
      <c r="C41" s="75"/>
      <c r="D41" s="76"/>
      <c r="E41" s="75"/>
      <c r="F41" s="76"/>
      <c r="G41" s="76"/>
      <c r="H41" s="76"/>
      <c r="I41" s="75"/>
    </row>
    <row r="42" spans="1:9" x14ac:dyDescent="0.25">
      <c r="A42" s="324"/>
      <c r="B42" s="327" t="s">
        <v>37</v>
      </c>
      <c r="C42" s="328"/>
      <c r="D42" s="328"/>
      <c r="E42" s="328"/>
      <c r="F42" s="328"/>
      <c r="G42" s="329"/>
      <c r="H42" s="27"/>
      <c r="I42" s="26" t="s">
        <v>74</v>
      </c>
    </row>
    <row r="43" spans="1:9" x14ac:dyDescent="0.25">
      <c r="A43" s="325"/>
      <c r="B43" s="330" t="s">
        <v>38</v>
      </c>
      <c r="C43" s="331"/>
      <c r="D43" s="331"/>
      <c r="E43" s="331"/>
      <c r="F43" s="331"/>
      <c r="G43" s="332"/>
      <c r="H43" s="27"/>
      <c r="I43" s="26" t="s">
        <v>74</v>
      </c>
    </row>
    <row r="44" spans="1:9" x14ac:dyDescent="0.25">
      <c r="A44" s="326"/>
      <c r="B44" s="333" t="s">
        <v>39</v>
      </c>
      <c r="C44" s="334"/>
      <c r="D44" s="334"/>
      <c r="E44" s="334"/>
      <c r="F44" s="334"/>
      <c r="G44" s="335"/>
      <c r="H44" s="27"/>
      <c r="I44" s="26" t="s">
        <v>74</v>
      </c>
    </row>
    <row r="45" spans="1:9" ht="9.75" customHeight="1" x14ac:dyDescent="0.25">
      <c r="A45" s="77"/>
      <c r="B45" s="72"/>
      <c r="C45" s="72"/>
      <c r="D45" s="72"/>
      <c r="E45" s="78"/>
      <c r="F45" s="72"/>
      <c r="G45" s="72"/>
      <c r="H45" s="79"/>
      <c r="I45" s="79"/>
    </row>
    <row r="46" spans="1:9" ht="20.25" customHeight="1" x14ac:dyDescent="0.25">
      <c r="A46" s="125" t="s">
        <v>22</v>
      </c>
      <c r="B46" s="336" t="s">
        <v>40</v>
      </c>
      <c r="C46" s="336"/>
      <c r="D46" s="336"/>
      <c r="E46" s="336"/>
      <c r="F46" s="336"/>
      <c r="G46" s="336"/>
      <c r="H46" s="80"/>
      <c r="I46" s="81"/>
    </row>
    <row r="47" spans="1:9" s="30" customFormat="1" ht="49.5" x14ac:dyDescent="0.25">
      <c r="A47" s="21" t="s">
        <v>25</v>
      </c>
      <c r="B47" s="21" t="s">
        <v>41</v>
      </c>
      <c r="C47" s="21" t="s">
        <v>28</v>
      </c>
      <c r="D47" s="21" t="s">
        <v>42</v>
      </c>
      <c r="E47" s="21" t="s">
        <v>43</v>
      </c>
      <c r="F47" s="22" t="s">
        <v>111</v>
      </c>
      <c r="G47" s="21" t="s">
        <v>31</v>
      </c>
      <c r="H47" s="21" t="s">
        <v>45</v>
      </c>
      <c r="I47" s="21" t="s">
        <v>33</v>
      </c>
    </row>
    <row r="48" spans="1:9" s="83" customFormat="1" ht="18" customHeight="1" x14ac:dyDescent="0.25">
      <c r="A48" s="82">
        <v>1</v>
      </c>
      <c r="B48" s="82">
        <v>2</v>
      </c>
      <c r="C48" s="82">
        <v>3</v>
      </c>
      <c r="D48" s="82">
        <v>4</v>
      </c>
      <c r="E48" s="82">
        <v>5</v>
      </c>
      <c r="F48" s="82">
        <v>6</v>
      </c>
      <c r="G48" s="82">
        <v>7</v>
      </c>
      <c r="H48" s="82">
        <v>8</v>
      </c>
      <c r="I48" s="82">
        <v>9</v>
      </c>
    </row>
    <row r="49" spans="1:12" s="89" customFormat="1" ht="30" customHeight="1" x14ac:dyDescent="0.25">
      <c r="A49" s="21" t="s">
        <v>46</v>
      </c>
      <c r="B49" s="84" t="s">
        <v>47</v>
      </c>
      <c r="C49" s="85"/>
      <c r="D49" s="85"/>
      <c r="E49" s="86"/>
      <c r="F49" s="85"/>
      <c r="G49" s="85"/>
      <c r="H49" s="165">
        <f>SUM(H50:H55)</f>
        <v>0</v>
      </c>
      <c r="I49" s="88"/>
    </row>
    <row r="50" spans="1:12" s="89" customFormat="1" ht="29.25" customHeight="1" x14ac:dyDescent="0.25">
      <c r="A50" s="90">
        <v>1</v>
      </c>
      <c r="B50" s="91" t="s">
        <v>257</v>
      </c>
      <c r="C50" s="64" t="s">
        <v>106</v>
      </c>
      <c r="D50" s="96" t="s">
        <v>258</v>
      </c>
      <c r="E50" s="131">
        <f>6.8*3.41</f>
        <v>23.187999999999999</v>
      </c>
      <c r="F50" s="93"/>
      <c r="G50" s="93"/>
      <c r="H50" s="94"/>
      <c r="I50" s="347" t="s">
        <v>110</v>
      </c>
    </row>
    <row r="51" spans="1:12" s="89" customFormat="1" ht="75" customHeight="1" x14ac:dyDescent="0.25">
      <c r="A51" s="90">
        <v>2</v>
      </c>
      <c r="B51" s="91" t="s">
        <v>381</v>
      </c>
      <c r="C51" s="64" t="s">
        <v>106</v>
      </c>
      <c r="D51" s="96" t="s">
        <v>259</v>
      </c>
      <c r="E51" s="248">
        <f>(3.41 + 3.34)/2 * 7.5</f>
        <v>25.3125</v>
      </c>
      <c r="F51" s="93"/>
      <c r="G51" s="93"/>
      <c r="H51" s="94"/>
      <c r="I51" s="348"/>
    </row>
    <row r="52" spans="1:12" s="89" customFormat="1" ht="26.25" customHeight="1" x14ac:dyDescent="0.25">
      <c r="A52" s="90" t="s">
        <v>131</v>
      </c>
      <c r="B52" s="91" t="s">
        <v>242</v>
      </c>
      <c r="C52" s="64" t="s">
        <v>106</v>
      </c>
      <c r="D52" s="96" t="s">
        <v>260</v>
      </c>
      <c r="E52" s="242">
        <f>3.26*4.7</f>
        <v>15.321999999999999</v>
      </c>
      <c r="F52" s="93"/>
      <c r="G52" s="93"/>
      <c r="H52" s="94"/>
      <c r="I52" s="348"/>
    </row>
    <row r="53" spans="1:12" s="89" customFormat="1" ht="26.25" customHeight="1" x14ac:dyDescent="0.25">
      <c r="A53" s="90">
        <v>3</v>
      </c>
      <c r="B53" s="91" t="s">
        <v>164</v>
      </c>
      <c r="C53" s="64" t="s">
        <v>92</v>
      </c>
      <c r="D53" s="96" t="s">
        <v>163</v>
      </c>
      <c r="E53" s="248">
        <v>10</v>
      </c>
      <c r="F53" s="93"/>
      <c r="G53" s="93"/>
      <c r="H53" s="94"/>
      <c r="I53" s="348"/>
    </row>
    <row r="54" spans="1:12" s="89" customFormat="1" ht="26.25" customHeight="1" x14ac:dyDescent="0.25">
      <c r="A54" s="90">
        <v>4</v>
      </c>
      <c r="B54" s="91" t="s">
        <v>382</v>
      </c>
      <c r="C54" s="64" t="s">
        <v>106</v>
      </c>
      <c r="D54" s="96" t="s">
        <v>262</v>
      </c>
      <c r="E54" s="248">
        <f>3.26*2.05</f>
        <v>6.6829999999999989</v>
      </c>
      <c r="F54" s="93"/>
      <c r="G54" s="93"/>
      <c r="H54" s="94"/>
      <c r="I54" s="348"/>
    </row>
    <row r="55" spans="1:12" s="89" customFormat="1" ht="26.25" customHeight="1" x14ac:dyDescent="0.25">
      <c r="A55" s="90">
        <v>5</v>
      </c>
      <c r="B55" s="91" t="s">
        <v>383</v>
      </c>
      <c r="C55" s="64" t="s">
        <v>106</v>
      </c>
      <c r="D55" s="96" t="s">
        <v>263</v>
      </c>
      <c r="E55" s="248">
        <f>3.41*0.5</f>
        <v>1.7050000000000001</v>
      </c>
      <c r="F55" s="93"/>
      <c r="G55" s="93"/>
      <c r="H55" s="94"/>
      <c r="I55" s="348"/>
    </row>
    <row r="56" spans="1:12" s="89" customFormat="1" ht="25.5" customHeight="1" x14ac:dyDescent="0.25">
      <c r="A56" s="21" t="s">
        <v>48</v>
      </c>
      <c r="B56" s="84" t="s">
        <v>49</v>
      </c>
      <c r="C56" s="85"/>
      <c r="D56" s="85"/>
      <c r="E56" s="92"/>
      <c r="F56" s="85"/>
      <c r="G56" s="85"/>
      <c r="H56" s="87">
        <f>SUM(H57:H57)</f>
        <v>0</v>
      </c>
      <c r="I56" s="95"/>
    </row>
    <row r="57" spans="1:12" s="89" customFormat="1" ht="30" customHeight="1" x14ac:dyDescent="0.25">
      <c r="A57" s="90"/>
      <c r="B57" s="91"/>
      <c r="C57" s="93"/>
      <c r="D57" s="90"/>
      <c r="E57" s="92"/>
      <c r="F57" s="97"/>
      <c r="G57" s="98"/>
      <c r="H57" s="97"/>
      <c r="I57" s="156"/>
    </row>
    <row r="58" spans="1:12" s="102" customFormat="1" ht="27.75" customHeight="1" x14ac:dyDescent="0.25">
      <c r="A58" s="126"/>
      <c r="B58" s="100" t="s">
        <v>50</v>
      </c>
      <c r="C58" s="100"/>
      <c r="D58" s="100"/>
      <c r="E58" s="100"/>
      <c r="F58" s="100"/>
      <c r="G58" s="100"/>
      <c r="H58" s="158">
        <f>H49+H56</f>
        <v>0</v>
      </c>
      <c r="I58" s="101"/>
    </row>
    <row r="59" spans="1:12" ht="22.5" customHeight="1" x14ac:dyDescent="0.25">
      <c r="A59" s="127">
        <v>4</v>
      </c>
      <c r="B59" s="337" t="s">
        <v>51</v>
      </c>
      <c r="C59" s="337"/>
      <c r="D59" s="337"/>
      <c r="E59" s="337"/>
      <c r="F59" s="337"/>
      <c r="G59" s="337"/>
      <c r="H59" s="51"/>
      <c r="I59" s="51"/>
    </row>
    <row r="60" spans="1:12" s="104" customFormat="1" ht="49.5" x14ac:dyDescent="0.25">
      <c r="A60" s="103" t="s">
        <v>25</v>
      </c>
      <c r="B60" s="338" t="s">
        <v>52</v>
      </c>
      <c r="C60" s="339"/>
      <c r="D60" s="21" t="s">
        <v>29</v>
      </c>
      <c r="E60" s="21" t="s">
        <v>53</v>
      </c>
      <c r="F60" s="21" t="s">
        <v>44</v>
      </c>
      <c r="G60" s="21" t="s">
        <v>54</v>
      </c>
      <c r="H60" s="21" t="s">
        <v>45</v>
      </c>
      <c r="I60" s="21" t="s">
        <v>33</v>
      </c>
    </row>
    <row r="61" spans="1:12" ht="24" customHeight="1" x14ac:dyDescent="0.25">
      <c r="A61" s="105"/>
      <c r="B61" s="340"/>
      <c r="C61" s="341"/>
      <c r="D61" s="106"/>
      <c r="E61" s="105"/>
      <c r="F61" s="107"/>
      <c r="G61" s="108"/>
      <c r="H61" s="108"/>
      <c r="I61" s="109"/>
      <c r="L61" s="110"/>
    </row>
    <row r="62" spans="1:12" s="112" customFormat="1" ht="27.75" customHeight="1" x14ac:dyDescent="0.25">
      <c r="A62" s="126"/>
      <c r="B62" s="342" t="s">
        <v>34</v>
      </c>
      <c r="C62" s="343"/>
      <c r="D62" s="100"/>
      <c r="E62" s="100"/>
      <c r="F62" s="100"/>
      <c r="G62" s="100"/>
      <c r="H62" s="163">
        <f>SUM(H61)</f>
        <v>0</v>
      </c>
      <c r="I62" s="111"/>
      <c r="L62" s="113"/>
    </row>
    <row r="63" spans="1:12" s="115" customFormat="1" ht="27.75" customHeight="1" x14ac:dyDescent="0.25">
      <c r="A63" s="128">
        <v>5</v>
      </c>
      <c r="B63" s="344" t="s">
        <v>56</v>
      </c>
      <c r="C63" s="344"/>
      <c r="D63" s="344"/>
      <c r="E63" s="344"/>
      <c r="F63" s="344"/>
      <c r="G63" s="345"/>
      <c r="H63" s="164">
        <f>H62+H58+H40+H34</f>
        <v>0</v>
      </c>
      <c r="I63" s="114" t="s">
        <v>57</v>
      </c>
    </row>
    <row r="64" spans="1:12" s="117" customFormat="1" ht="17.25" x14ac:dyDescent="0.25">
      <c r="A64" s="129"/>
      <c r="B64" s="116" t="s">
        <v>78</v>
      </c>
      <c r="C64" s="346" t="s">
        <v>91</v>
      </c>
      <c r="D64" s="346"/>
      <c r="E64" s="346"/>
      <c r="F64" s="346"/>
      <c r="G64" s="346"/>
      <c r="H64" s="346"/>
      <c r="I64" s="346"/>
    </row>
    <row r="65" spans="1:9" s="41" customFormat="1" ht="17.25" hidden="1" x14ac:dyDescent="0.3">
      <c r="A65" s="39"/>
      <c r="B65" s="118"/>
      <c r="E65" s="119"/>
      <c r="F65" s="316" t="s">
        <v>75</v>
      </c>
      <c r="G65" s="316"/>
      <c r="H65" s="316"/>
      <c r="I65" s="316"/>
    </row>
    <row r="66" spans="1:9" hidden="1" x14ac:dyDescent="0.25">
      <c r="F66" s="316" t="s">
        <v>76</v>
      </c>
      <c r="G66" s="316"/>
      <c r="H66" s="316"/>
      <c r="I66" s="316"/>
    </row>
    <row r="67" spans="1:9" hidden="1" x14ac:dyDescent="0.25">
      <c r="F67" s="317"/>
      <c r="G67" s="317"/>
      <c r="H67" s="317"/>
      <c r="I67" s="317"/>
    </row>
    <row r="68" spans="1:9" hidden="1" x14ac:dyDescent="0.25"/>
    <row r="69" spans="1:9" hidden="1" x14ac:dyDescent="0.25"/>
    <row r="70" spans="1:9" hidden="1" x14ac:dyDescent="0.25"/>
    <row r="71" spans="1:9" hidden="1" x14ac:dyDescent="0.25"/>
    <row r="72" spans="1:9" hidden="1" x14ac:dyDescent="0.25"/>
    <row r="73" spans="1:9" hidden="1" x14ac:dyDescent="0.25">
      <c r="F73" s="318" t="s">
        <v>77</v>
      </c>
      <c r="G73" s="318"/>
      <c r="H73" s="318"/>
      <c r="I73" s="318"/>
    </row>
    <row r="74" spans="1:9" ht="66.75" customHeight="1" x14ac:dyDescent="0.25">
      <c r="A74" s="319" t="s">
        <v>100</v>
      </c>
      <c r="B74" s="319"/>
      <c r="C74" s="319"/>
      <c r="D74" s="319"/>
      <c r="E74" s="319"/>
      <c r="F74" s="319"/>
      <c r="G74" s="319"/>
      <c r="H74" s="319"/>
      <c r="I74" s="319"/>
    </row>
    <row r="75" spans="1:9" x14ac:dyDescent="0.25">
      <c r="A75" s="315" t="s">
        <v>102</v>
      </c>
      <c r="B75" s="315"/>
      <c r="C75" s="315"/>
      <c r="D75" s="315"/>
      <c r="E75" s="315"/>
      <c r="F75" s="315"/>
      <c r="G75" s="315"/>
      <c r="H75" s="315"/>
      <c r="I75" s="315"/>
    </row>
    <row r="76" spans="1:9" x14ac:dyDescent="0.25">
      <c r="A76" s="320" t="s">
        <v>117</v>
      </c>
      <c r="B76" s="320"/>
      <c r="C76" s="320"/>
      <c r="D76" s="321"/>
      <c r="E76" s="322" t="s">
        <v>103</v>
      </c>
      <c r="F76" s="323"/>
      <c r="G76" s="323"/>
      <c r="H76" s="323"/>
      <c r="I76" s="323"/>
    </row>
    <row r="77" spans="1:9" x14ac:dyDescent="0.25">
      <c r="A77" s="320"/>
      <c r="B77" s="320"/>
      <c r="C77" s="320"/>
      <c r="D77" s="321"/>
      <c r="E77" s="322"/>
      <c r="F77" s="323"/>
      <c r="G77" s="323"/>
      <c r="H77" s="323"/>
      <c r="I77" s="323"/>
    </row>
    <row r="78" spans="1:9" x14ac:dyDescent="0.25">
      <c r="A78" s="320"/>
      <c r="B78" s="320"/>
      <c r="C78" s="320"/>
      <c r="D78" s="321"/>
      <c r="E78" s="38"/>
      <c r="I78" s="20"/>
    </row>
    <row r="79" spans="1:9" x14ac:dyDescent="0.25">
      <c r="A79" s="315" t="s">
        <v>101</v>
      </c>
      <c r="B79" s="315"/>
      <c r="C79" s="315"/>
      <c r="D79" s="315"/>
      <c r="E79" s="315"/>
      <c r="F79" s="315"/>
      <c r="G79" s="315"/>
      <c r="H79" s="315"/>
      <c r="I79" s="315"/>
    </row>
  </sheetData>
  <mergeCells count="59">
    <mergeCell ref="A1:D1"/>
    <mergeCell ref="E1:I1"/>
    <mergeCell ref="A2:D2"/>
    <mergeCell ref="E2:I2"/>
    <mergeCell ref="E4:I4"/>
    <mergeCell ref="A4:D4"/>
    <mergeCell ref="A5:I5"/>
    <mergeCell ref="A6:I6"/>
    <mergeCell ref="A7:I7"/>
    <mergeCell ref="B8:I8"/>
    <mergeCell ref="B9:E9"/>
    <mergeCell ref="F9:I9"/>
    <mergeCell ref="B26:F26"/>
    <mergeCell ref="C10:I10"/>
    <mergeCell ref="C11:I11"/>
    <mergeCell ref="C12:E12"/>
    <mergeCell ref="F13:I13"/>
    <mergeCell ref="C14:I14"/>
    <mergeCell ref="C15:I15"/>
    <mergeCell ref="C16:E16"/>
    <mergeCell ref="B17:I17"/>
    <mergeCell ref="D19:E19"/>
    <mergeCell ref="C24:I24"/>
    <mergeCell ref="C25:I25"/>
    <mergeCell ref="B38:C38"/>
    <mergeCell ref="B27:G27"/>
    <mergeCell ref="B28:I28"/>
    <mergeCell ref="B29:I29"/>
    <mergeCell ref="A30:A31"/>
    <mergeCell ref="B30:I30"/>
    <mergeCell ref="B31:C31"/>
    <mergeCell ref="B32:C32"/>
    <mergeCell ref="B33:C33"/>
    <mergeCell ref="B34:C34"/>
    <mergeCell ref="B36:I36"/>
    <mergeCell ref="B37:C37"/>
    <mergeCell ref="B39:C39"/>
    <mergeCell ref="B40:C40"/>
    <mergeCell ref="A42:A44"/>
    <mergeCell ref="B42:G42"/>
    <mergeCell ref="B43:G43"/>
    <mergeCell ref="B44:G44"/>
    <mergeCell ref="F67:I67"/>
    <mergeCell ref="F73:I73"/>
    <mergeCell ref="B46:G46"/>
    <mergeCell ref="B59:G59"/>
    <mergeCell ref="B60:C60"/>
    <mergeCell ref="B61:C61"/>
    <mergeCell ref="B62:C62"/>
    <mergeCell ref="I50:I55"/>
    <mergeCell ref="B63:G63"/>
    <mergeCell ref="C64:I64"/>
    <mergeCell ref="F65:I65"/>
    <mergeCell ref="F66:I66"/>
    <mergeCell ref="A74:I74"/>
    <mergeCell ref="A75:I75"/>
    <mergeCell ref="A76:D78"/>
    <mergeCell ref="E76:I77"/>
    <mergeCell ref="A79:I79"/>
  </mergeCells>
  <pageMargins left="0.11811023622047245" right="0.11811023622047245" top="0.19685039370078741" bottom="0.15748031496062992" header="0.19685039370078741" footer="0.15748031496062992"/>
  <pageSetup paperSize="9" scale="80" orientation="portrait"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79"/>
  <sheetViews>
    <sheetView topLeftCell="A19" workbookViewId="0">
      <selection activeCell="B37" sqref="B37:C37"/>
    </sheetView>
  </sheetViews>
  <sheetFormatPr defaultColWidth="9.140625" defaultRowHeight="16.5" x14ac:dyDescent="0.25"/>
  <cols>
    <col min="1" max="1" width="4.28515625" style="68" customWidth="1"/>
    <col min="2" max="2" width="27.28515625" style="20" customWidth="1"/>
    <col min="3" max="3" width="8.7109375" style="20" customWidth="1"/>
    <col min="4" max="4" width="22.7109375" style="20" customWidth="1"/>
    <col min="5" max="5" width="9.7109375" style="23" customWidth="1"/>
    <col min="6" max="6" width="12.28515625" style="20" customWidth="1"/>
    <col min="7" max="7" width="9.42578125" style="20" customWidth="1"/>
    <col min="8" max="8" width="15" style="20" customWidth="1"/>
    <col min="9" max="9" width="15.42578125" style="120" customWidth="1"/>
    <col min="10" max="11" width="9.140625" style="20" customWidth="1"/>
    <col min="12" max="12" width="11.42578125" style="20" customWidth="1"/>
    <col min="13" max="19" width="9.140625" style="20" customWidth="1"/>
    <col min="20" max="16384" width="9.140625" style="20"/>
  </cols>
  <sheetData>
    <row r="1" spans="1:17" s="36" customFormat="1" x14ac:dyDescent="0.25">
      <c r="A1" s="368" t="s">
        <v>98</v>
      </c>
      <c r="B1" s="368"/>
      <c r="C1" s="368"/>
      <c r="D1" s="368"/>
      <c r="E1" s="368" t="s">
        <v>0</v>
      </c>
      <c r="F1" s="368"/>
      <c r="G1" s="368"/>
      <c r="H1" s="368"/>
      <c r="I1" s="368"/>
    </row>
    <row r="2" spans="1:17" s="36" customFormat="1" x14ac:dyDescent="0.25">
      <c r="A2" s="369" t="s">
        <v>99</v>
      </c>
      <c r="B2" s="369"/>
      <c r="C2" s="369"/>
      <c r="D2" s="369"/>
      <c r="E2" s="369" t="s">
        <v>1</v>
      </c>
      <c r="F2" s="368"/>
      <c r="G2" s="368"/>
      <c r="H2" s="368"/>
      <c r="I2" s="368"/>
    </row>
    <row r="3" spans="1:17" s="36" customFormat="1" ht="15.75" customHeight="1" x14ac:dyDescent="0.25">
      <c r="A3" s="39"/>
      <c r="C3" s="39"/>
      <c r="D3" s="39"/>
      <c r="E3" s="39"/>
      <c r="F3" s="39"/>
      <c r="G3" s="39"/>
      <c r="H3" s="39"/>
      <c r="I3" s="37"/>
    </row>
    <row r="4" spans="1:17" s="36" customFormat="1" x14ac:dyDescent="0.25">
      <c r="A4" s="369" t="s">
        <v>89</v>
      </c>
      <c r="B4" s="369"/>
      <c r="C4" s="369"/>
      <c r="E4" s="370" t="s">
        <v>185</v>
      </c>
      <c r="F4" s="370"/>
      <c r="G4" s="370"/>
      <c r="H4" s="370"/>
      <c r="I4" s="370"/>
    </row>
    <row r="5" spans="1:17" s="40" customFormat="1" ht="18.75" customHeight="1" x14ac:dyDescent="0.25">
      <c r="A5" s="371" t="s">
        <v>85</v>
      </c>
      <c r="B5" s="371"/>
      <c r="C5" s="371"/>
      <c r="D5" s="371"/>
      <c r="E5" s="371"/>
      <c r="F5" s="371"/>
      <c r="G5" s="371"/>
      <c r="H5" s="371"/>
      <c r="I5" s="371"/>
    </row>
    <row r="6" spans="1:17" s="40" customFormat="1" ht="39.75" customHeight="1" x14ac:dyDescent="0.25">
      <c r="A6" s="372" t="s">
        <v>86</v>
      </c>
      <c r="B6" s="372"/>
      <c r="C6" s="372"/>
      <c r="D6" s="372"/>
      <c r="E6" s="372"/>
      <c r="F6" s="372"/>
      <c r="G6" s="372"/>
      <c r="H6" s="372"/>
      <c r="I6" s="372"/>
      <c r="Q6" s="41"/>
    </row>
    <row r="7" spans="1:17" s="40" customFormat="1" ht="39.75" customHeight="1" x14ac:dyDescent="0.25">
      <c r="A7" s="373" t="s">
        <v>166</v>
      </c>
      <c r="B7" s="373"/>
      <c r="C7" s="373"/>
      <c r="D7" s="373"/>
      <c r="E7" s="373"/>
      <c r="F7" s="373"/>
      <c r="G7" s="373"/>
      <c r="H7" s="373"/>
      <c r="I7" s="373"/>
    </row>
    <row r="8" spans="1:17" s="42" customFormat="1" ht="19.899999999999999" customHeight="1" x14ac:dyDescent="0.25">
      <c r="A8" s="121" t="s">
        <v>2</v>
      </c>
      <c r="B8" s="362" t="s">
        <v>3</v>
      </c>
      <c r="C8" s="362"/>
      <c r="D8" s="362"/>
      <c r="E8" s="362"/>
      <c r="F8" s="362"/>
      <c r="G8" s="362"/>
      <c r="H8" s="362"/>
      <c r="I8" s="362"/>
    </row>
    <row r="9" spans="1:17" s="42" customFormat="1" ht="19.899999999999999" customHeight="1" x14ac:dyDescent="0.25">
      <c r="A9" s="121" t="s">
        <v>4</v>
      </c>
      <c r="B9" s="374" t="s">
        <v>5</v>
      </c>
      <c r="C9" s="374"/>
      <c r="D9" s="374"/>
      <c r="E9" s="374"/>
      <c r="F9" s="365" t="s">
        <v>384</v>
      </c>
      <c r="G9" s="365"/>
      <c r="H9" s="365"/>
      <c r="I9" s="365"/>
    </row>
    <row r="10" spans="1:17" s="42" customFormat="1" ht="19.899999999999999" customHeight="1" x14ac:dyDescent="0.25">
      <c r="A10" s="122"/>
      <c r="B10" s="24" t="s">
        <v>6</v>
      </c>
      <c r="C10" s="365" t="s">
        <v>385</v>
      </c>
      <c r="D10" s="365"/>
      <c r="E10" s="365"/>
      <c r="F10" s="365"/>
      <c r="G10" s="365"/>
      <c r="H10" s="365"/>
      <c r="I10" s="365"/>
    </row>
    <row r="11" spans="1:17" s="42" customFormat="1" ht="19.899999999999999" customHeight="1" x14ac:dyDescent="0.25">
      <c r="A11" s="122"/>
      <c r="B11" s="24" t="s">
        <v>7</v>
      </c>
      <c r="C11" s="365" t="s">
        <v>385</v>
      </c>
      <c r="D11" s="365"/>
      <c r="E11" s="365"/>
      <c r="F11" s="365"/>
      <c r="G11" s="365"/>
      <c r="H11" s="365"/>
      <c r="I11" s="365"/>
    </row>
    <row r="12" spans="1:17" s="42" customFormat="1" ht="19.899999999999999" customHeight="1" x14ac:dyDescent="0.25">
      <c r="A12" s="122"/>
      <c r="B12" s="24" t="s">
        <v>11</v>
      </c>
      <c r="C12" s="266" t="s">
        <v>386</v>
      </c>
      <c r="D12" s="266"/>
      <c r="E12" s="266"/>
      <c r="F12" s="266"/>
      <c r="G12" s="43"/>
      <c r="H12" s="43"/>
      <c r="I12" s="43"/>
    </row>
    <row r="13" spans="1:17" s="42" customFormat="1" ht="19.899999999999999" customHeight="1" x14ac:dyDescent="0.25">
      <c r="A13" s="121" t="s">
        <v>9</v>
      </c>
      <c r="B13" s="44" t="s">
        <v>10</v>
      </c>
      <c r="E13" s="43"/>
      <c r="F13" s="362" t="str">
        <f>F9</f>
        <v>Bùi Văn Hồng</v>
      </c>
      <c r="G13" s="362"/>
      <c r="H13" s="362"/>
      <c r="I13" s="362"/>
      <c r="J13" s="143"/>
    </row>
    <row r="14" spans="1:17" s="42" customFormat="1" ht="19.899999999999999" customHeight="1" x14ac:dyDescent="0.25">
      <c r="A14" s="122"/>
      <c r="B14" s="24" t="s">
        <v>6</v>
      </c>
      <c r="C14" s="365" t="str">
        <f>+C10</f>
        <v>Tổ dân phố Đình Tổ - xã Quốc Oai - TP Hà Nội</v>
      </c>
      <c r="D14" s="365"/>
      <c r="E14" s="365"/>
      <c r="F14" s="365"/>
      <c r="G14" s="365"/>
      <c r="H14" s="365"/>
      <c r="I14" s="365"/>
    </row>
    <row r="15" spans="1:17" s="42" customFormat="1" ht="19.899999999999999" customHeight="1" x14ac:dyDescent="0.25">
      <c r="A15" s="122"/>
      <c r="B15" s="24" t="s">
        <v>7</v>
      </c>
      <c r="C15" s="365" t="str">
        <f>C11</f>
        <v>Tổ dân phố Đình Tổ - xã Quốc Oai - TP Hà Nội</v>
      </c>
      <c r="D15" s="365"/>
      <c r="E15" s="365"/>
      <c r="F15" s="365"/>
      <c r="G15" s="365"/>
      <c r="H15" s="365"/>
      <c r="I15" s="365"/>
    </row>
    <row r="16" spans="1:17" s="42" customFormat="1" ht="19.899999999999999" customHeight="1" x14ac:dyDescent="0.25">
      <c r="A16" s="122"/>
      <c r="B16" s="24" t="s">
        <v>11</v>
      </c>
      <c r="C16" s="266" t="str">
        <f>+C12</f>
        <v>001060010502</v>
      </c>
      <c r="D16" s="266"/>
      <c r="E16" s="266"/>
      <c r="F16" s="43"/>
      <c r="G16" s="43"/>
      <c r="H16" s="43"/>
      <c r="I16" s="43"/>
    </row>
    <row r="17" spans="1:19" s="42" customFormat="1" ht="19.899999999999999" customHeight="1" x14ac:dyDescent="0.25">
      <c r="A17" s="121" t="s">
        <v>12</v>
      </c>
      <c r="B17" s="362" t="s">
        <v>13</v>
      </c>
      <c r="C17" s="362"/>
      <c r="D17" s="362"/>
      <c r="E17" s="362"/>
      <c r="F17" s="362"/>
      <c r="G17" s="362"/>
      <c r="H17" s="362"/>
      <c r="I17" s="362"/>
    </row>
    <row r="18" spans="1:19" s="42" customFormat="1" ht="19.899999999999999" customHeight="1" x14ac:dyDescent="0.25">
      <c r="A18" s="121" t="s">
        <v>4</v>
      </c>
      <c r="B18" s="46" t="s">
        <v>14</v>
      </c>
      <c r="E18" s="43"/>
    </row>
    <row r="19" spans="1:19" s="51" customFormat="1" ht="19.899999999999999" customHeight="1" x14ac:dyDescent="0.25">
      <c r="A19" s="123"/>
      <c r="B19" s="47" t="s">
        <v>15</v>
      </c>
      <c r="C19" s="48">
        <v>76</v>
      </c>
      <c r="D19" s="363" t="s">
        <v>16</v>
      </c>
      <c r="E19" s="363"/>
      <c r="F19" s="49" t="s">
        <v>128</v>
      </c>
      <c r="G19" s="50"/>
      <c r="I19" s="50"/>
    </row>
    <row r="20" spans="1:19" s="51" customFormat="1" ht="19.899999999999999" customHeight="1" x14ac:dyDescent="0.25">
      <c r="A20" s="123"/>
      <c r="B20" s="47" t="s">
        <v>17</v>
      </c>
      <c r="C20" s="52">
        <v>82.4</v>
      </c>
      <c r="D20" s="50" t="s">
        <v>105</v>
      </c>
      <c r="E20" s="53"/>
      <c r="F20" s="54"/>
      <c r="H20" s="55"/>
      <c r="I20" s="50"/>
    </row>
    <row r="21" spans="1:19" s="51" customFormat="1" ht="19.899999999999999" customHeight="1" x14ac:dyDescent="0.25">
      <c r="A21" s="123"/>
      <c r="B21" s="56" t="s">
        <v>18</v>
      </c>
      <c r="C21" s="57"/>
      <c r="D21" s="50"/>
      <c r="E21" s="53"/>
      <c r="F21" s="50"/>
      <c r="H21" s="55"/>
      <c r="I21" s="50"/>
    </row>
    <row r="22" spans="1:19" s="51" customFormat="1" ht="19.899999999999999" customHeight="1" x14ac:dyDescent="0.25">
      <c r="A22" s="123"/>
      <c r="B22" s="47" t="s">
        <v>19</v>
      </c>
      <c r="C22" s="52">
        <v>53.1</v>
      </c>
      <c r="D22" s="50" t="s">
        <v>105</v>
      </c>
      <c r="E22" s="53"/>
      <c r="F22" s="50"/>
      <c r="H22" s="55"/>
      <c r="I22" s="50"/>
      <c r="J22" s="133"/>
    </row>
    <row r="23" spans="1:19" s="51" customFormat="1" ht="19.899999999999999" customHeight="1" x14ac:dyDescent="0.25">
      <c r="A23" s="123"/>
      <c r="B23" s="47" t="s">
        <v>20</v>
      </c>
      <c r="C23" s="57">
        <f>C20-C22</f>
        <v>29.300000000000004</v>
      </c>
      <c r="D23" s="50" t="s">
        <v>105</v>
      </c>
      <c r="E23" s="53"/>
      <c r="F23" s="50"/>
      <c r="H23" s="55"/>
      <c r="I23" s="50"/>
      <c r="J23" s="142"/>
    </row>
    <row r="24" spans="1:19" s="42" customFormat="1" ht="19.899999999999999" customHeight="1" x14ac:dyDescent="0.25">
      <c r="A24" s="122"/>
      <c r="B24" s="24" t="s">
        <v>21</v>
      </c>
      <c r="C24" s="362" t="s">
        <v>146</v>
      </c>
      <c r="D24" s="362"/>
      <c r="E24" s="362"/>
      <c r="F24" s="362"/>
      <c r="G24" s="362"/>
      <c r="H24" s="362"/>
      <c r="I24" s="362"/>
    </row>
    <row r="25" spans="1:19" s="36" customFormat="1" ht="312.75" customHeight="1" x14ac:dyDescent="0.25">
      <c r="A25" s="39">
        <v>2</v>
      </c>
      <c r="B25" s="58" t="s">
        <v>73</v>
      </c>
      <c r="C25" s="366" t="s">
        <v>572</v>
      </c>
      <c r="D25" s="367"/>
      <c r="E25" s="367"/>
      <c r="F25" s="367"/>
      <c r="G25" s="367"/>
      <c r="H25" s="367"/>
      <c r="I25" s="367"/>
      <c r="J25" s="133"/>
      <c r="K25" s="133"/>
      <c r="L25" s="59"/>
      <c r="M25" s="59"/>
      <c r="N25" s="59"/>
      <c r="O25" s="59"/>
      <c r="P25" s="59"/>
      <c r="Q25" s="59"/>
      <c r="R25" s="59"/>
      <c r="S25" s="59"/>
    </row>
    <row r="26" spans="1:19" s="36" customFormat="1" ht="19.899999999999999" customHeight="1" x14ac:dyDescent="0.25">
      <c r="A26" s="39">
        <v>3</v>
      </c>
      <c r="B26" s="364" t="s">
        <v>82</v>
      </c>
      <c r="C26" s="364"/>
      <c r="D26" s="364"/>
      <c r="E26" s="364"/>
      <c r="F26" s="364"/>
      <c r="G26" s="60"/>
      <c r="H26" s="149">
        <v>0</v>
      </c>
      <c r="I26" s="60" t="s">
        <v>55</v>
      </c>
      <c r="J26" s="142"/>
      <c r="K26" s="142"/>
      <c r="L26" s="59"/>
      <c r="M26" s="59"/>
      <c r="N26" s="59"/>
      <c r="O26" s="59"/>
      <c r="P26" s="59"/>
      <c r="Q26" s="59"/>
      <c r="R26" s="59"/>
      <c r="S26" s="59"/>
    </row>
    <row r="27" spans="1:19" s="36" customFormat="1" ht="19.899999999999999" customHeight="1" x14ac:dyDescent="0.25">
      <c r="A27" s="39">
        <v>4</v>
      </c>
      <c r="B27" s="364" t="s">
        <v>65</v>
      </c>
      <c r="C27" s="364"/>
      <c r="D27" s="364"/>
      <c r="E27" s="364"/>
      <c r="F27" s="364"/>
      <c r="G27" s="364"/>
      <c r="H27" s="148">
        <v>0</v>
      </c>
      <c r="I27" s="60" t="s">
        <v>84</v>
      </c>
      <c r="J27" s="59"/>
      <c r="K27" s="59"/>
      <c r="L27" s="59"/>
      <c r="M27" s="59"/>
      <c r="N27" s="59"/>
      <c r="O27" s="59"/>
      <c r="P27" s="59"/>
      <c r="Q27" s="59"/>
      <c r="R27" s="59"/>
      <c r="S27" s="59"/>
    </row>
    <row r="28" spans="1:19" s="41" customFormat="1" x14ac:dyDescent="0.25">
      <c r="A28" s="39" t="s">
        <v>88</v>
      </c>
      <c r="B28" s="364" t="s">
        <v>87</v>
      </c>
      <c r="C28" s="364"/>
      <c r="D28" s="364"/>
      <c r="E28" s="364"/>
      <c r="F28" s="364"/>
      <c r="G28" s="364"/>
      <c r="H28" s="364"/>
      <c r="I28" s="364"/>
    </row>
    <row r="29" spans="1:19" s="40" customFormat="1" ht="20.25" customHeight="1" x14ac:dyDescent="0.25">
      <c r="A29" s="39" t="s">
        <v>4</v>
      </c>
      <c r="B29" s="360" t="s">
        <v>24</v>
      </c>
      <c r="C29" s="360"/>
      <c r="D29" s="360"/>
      <c r="E29" s="360"/>
      <c r="F29" s="360"/>
      <c r="G29" s="360"/>
      <c r="H29" s="360"/>
      <c r="I29" s="360"/>
      <c r="J29" s="41"/>
      <c r="K29" s="41"/>
      <c r="L29" s="41"/>
      <c r="M29" s="41"/>
      <c r="N29" s="41"/>
      <c r="O29" s="41"/>
      <c r="P29" s="41"/>
      <c r="Q29" s="41"/>
      <c r="R29" s="41"/>
      <c r="S29" s="41"/>
    </row>
    <row r="30" spans="1:19" s="24" customFormat="1" ht="32.25" customHeight="1" x14ac:dyDescent="0.25">
      <c r="A30" s="351" t="s">
        <v>25</v>
      </c>
      <c r="B30" s="353" t="s">
        <v>26</v>
      </c>
      <c r="C30" s="354"/>
      <c r="D30" s="354"/>
      <c r="E30" s="354"/>
      <c r="F30" s="354"/>
      <c r="G30" s="354"/>
      <c r="H30" s="354"/>
      <c r="I30" s="355"/>
    </row>
    <row r="31" spans="1:19" s="25" customFormat="1" ht="49.5" x14ac:dyDescent="0.25">
      <c r="A31" s="352"/>
      <c r="B31" s="353" t="s">
        <v>27</v>
      </c>
      <c r="C31" s="355"/>
      <c r="D31" s="21" t="s">
        <v>28</v>
      </c>
      <c r="E31" s="22" t="s">
        <v>29</v>
      </c>
      <c r="F31" s="22" t="s">
        <v>30</v>
      </c>
      <c r="G31" s="21" t="s">
        <v>31</v>
      </c>
      <c r="H31" s="22" t="s">
        <v>104</v>
      </c>
      <c r="I31" s="22" t="s">
        <v>33</v>
      </c>
    </row>
    <row r="32" spans="1:19" s="62" customFormat="1" ht="18.75" customHeight="1" x14ac:dyDescent="0.25">
      <c r="A32" s="61">
        <v>1</v>
      </c>
      <c r="B32" s="356">
        <v>2</v>
      </c>
      <c r="C32" s="357"/>
      <c r="D32" s="61">
        <v>3</v>
      </c>
      <c r="E32" s="61">
        <v>4</v>
      </c>
      <c r="F32" s="61">
        <v>5</v>
      </c>
      <c r="G32" s="61">
        <v>6</v>
      </c>
      <c r="H32" s="61">
        <v>7</v>
      </c>
      <c r="I32" s="61">
        <v>8</v>
      </c>
    </row>
    <row r="33" spans="1:9" s="68" customFormat="1" ht="39" customHeight="1" x14ac:dyDescent="0.25">
      <c r="A33" s="63">
        <v>1</v>
      </c>
      <c r="B33" s="358" t="s">
        <v>563</v>
      </c>
      <c r="C33" s="359"/>
      <c r="D33" s="64" t="s">
        <v>106</v>
      </c>
      <c r="E33" s="65">
        <f>C22</f>
        <v>53.1</v>
      </c>
      <c r="F33" s="63"/>
      <c r="G33" s="66"/>
      <c r="H33" s="166">
        <f>E33*F33*G33</f>
        <v>0</v>
      </c>
      <c r="I33" s="67"/>
    </row>
    <row r="34" spans="1:9" s="71" customFormat="1" ht="30.75" customHeight="1" x14ac:dyDescent="0.25">
      <c r="A34" s="69"/>
      <c r="B34" s="349" t="s">
        <v>34</v>
      </c>
      <c r="C34" s="350"/>
      <c r="D34" s="69"/>
      <c r="E34" s="69"/>
      <c r="F34" s="69"/>
      <c r="G34" s="69"/>
      <c r="H34" s="169">
        <f>SUM(H33:H33)</f>
        <v>0</v>
      </c>
      <c r="I34" s="69"/>
    </row>
    <row r="35" spans="1:9" ht="9" customHeight="1" x14ac:dyDescent="0.25">
      <c r="A35" s="77"/>
      <c r="B35" s="72"/>
      <c r="C35" s="72"/>
      <c r="D35" s="73"/>
      <c r="E35" s="73"/>
      <c r="F35" s="73"/>
      <c r="G35" s="73"/>
      <c r="H35" s="73"/>
      <c r="I35" s="73"/>
    </row>
    <row r="36" spans="1:9" ht="21" customHeight="1" x14ac:dyDescent="0.25">
      <c r="A36" s="75" t="s">
        <v>9</v>
      </c>
      <c r="B36" s="360" t="s">
        <v>35</v>
      </c>
      <c r="C36" s="360"/>
      <c r="D36" s="360"/>
      <c r="E36" s="360"/>
      <c r="F36" s="360"/>
      <c r="G36" s="360"/>
      <c r="H36" s="360"/>
      <c r="I36" s="360"/>
    </row>
    <row r="37" spans="1:9" s="23" customFormat="1" ht="49.5" x14ac:dyDescent="0.25">
      <c r="A37" s="29" t="s">
        <v>25</v>
      </c>
      <c r="B37" s="353" t="s">
        <v>27</v>
      </c>
      <c r="C37" s="355"/>
      <c r="D37" s="21" t="s">
        <v>28</v>
      </c>
      <c r="E37" s="22" t="s">
        <v>29</v>
      </c>
      <c r="F37" s="22" t="s">
        <v>30</v>
      </c>
      <c r="G37" s="21" t="s">
        <v>31</v>
      </c>
      <c r="H37" s="22" t="s">
        <v>32</v>
      </c>
      <c r="I37" s="22" t="s">
        <v>33</v>
      </c>
    </row>
    <row r="38" spans="1:9" s="62" customFormat="1" ht="18" customHeight="1" x14ac:dyDescent="0.25">
      <c r="A38" s="61">
        <v>1</v>
      </c>
      <c r="B38" s="356">
        <v>2</v>
      </c>
      <c r="C38" s="357"/>
      <c r="D38" s="61">
        <v>3</v>
      </c>
      <c r="E38" s="61">
        <v>4</v>
      </c>
      <c r="F38" s="61">
        <v>5</v>
      </c>
      <c r="G38" s="61">
        <v>6</v>
      </c>
      <c r="H38" s="61">
        <v>7</v>
      </c>
      <c r="I38" s="61">
        <v>8</v>
      </c>
    </row>
    <row r="39" spans="1:9" ht="37.5" customHeight="1" x14ac:dyDescent="0.25">
      <c r="A39" s="26">
        <v>1</v>
      </c>
      <c r="B39" s="353"/>
      <c r="C39" s="355"/>
      <c r="D39" s="27"/>
      <c r="E39" s="22"/>
      <c r="F39" s="27"/>
      <c r="G39" s="27"/>
      <c r="H39" s="27"/>
      <c r="I39" s="26" t="s">
        <v>36</v>
      </c>
    </row>
    <row r="40" spans="1:9" s="71" customFormat="1" ht="25.5" customHeight="1" x14ac:dyDescent="0.25">
      <c r="A40" s="69"/>
      <c r="B40" s="349" t="s">
        <v>34</v>
      </c>
      <c r="C40" s="350"/>
      <c r="D40" s="74"/>
      <c r="E40" s="69"/>
      <c r="F40" s="74"/>
      <c r="G40" s="74"/>
      <c r="H40" s="74"/>
      <c r="I40" s="69"/>
    </row>
    <row r="41" spans="1:9" x14ac:dyDescent="0.25">
      <c r="A41" s="124"/>
      <c r="B41" s="75"/>
      <c r="C41" s="75"/>
      <c r="D41" s="76"/>
      <c r="E41" s="75"/>
      <c r="F41" s="76"/>
      <c r="G41" s="76"/>
      <c r="H41" s="76"/>
      <c r="I41" s="75"/>
    </row>
    <row r="42" spans="1:9" x14ac:dyDescent="0.25">
      <c r="A42" s="324"/>
      <c r="B42" s="327" t="s">
        <v>37</v>
      </c>
      <c r="C42" s="328"/>
      <c r="D42" s="328"/>
      <c r="E42" s="328"/>
      <c r="F42" s="328"/>
      <c r="G42" s="329"/>
      <c r="H42" s="27"/>
      <c r="I42" s="26" t="s">
        <v>74</v>
      </c>
    </row>
    <row r="43" spans="1:9" x14ac:dyDescent="0.25">
      <c r="A43" s="325"/>
      <c r="B43" s="330" t="s">
        <v>38</v>
      </c>
      <c r="C43" s="331"/>
      <c r="D43" s="331"/>
      <c r="E43" s="331"/>
      <c r="F43" s="331"/>
      <c r="G43" s="332"/>
      <c r="H43" s="27"/>
      <c r="I43" s="26" t="s">
        <v>74</v>
      </c>
    </row>
    <row r="44" spans="1:9" x14ac:dyDescent="0.25">
      <c r="A44" s="326"/>
      <c r="B44" s="333" t="s">
        <v>39</v>
      </c>
      <c r="C44" s="334"/>
      <c r="D44" s="334"/>
      <c r="E44" s="334"/>
      <c r="F44" s="334"/>
      <c r="G44" s="335"/>
      <c r="H44" s="27"/>
      <c r="I44" s="26" t="s">
        <v>74</v>
      </c>
    </row>
    <row r="45" spans="1:9" ht="12.75" customHeight="1" x14ac:dyDescent="0.25">
      <c r="A45" s="77"/>
      <c r="B45" s="72"/>
      <c r="C45" s="72"/>
      <c r="D45" s="72"/>
      <c r="E45" s="78"/>
      <c r="F45" s="72"/>
      <c r="G45" s="72"/>
      <c r="H45" s="79"/>
      <c r="I45" s="79"/>
    </row>
    <row r="46" spans="1:9" ht="20.25" customHeight="1" x14ac:dyDescent="0.25">
      <c r="A46" s="125" t="s">
        <v>22</v>
      </c>
      <c r="B46" s="376" t="s">
        <v>40</v>
      </c>
      <c r="C46" s="376"/>
      <c r="D46" s="376"/>
      <c r="E46" s="376"/>
      <c r="F46" s="376"/>
      <c r="G46" s="376"/>
      <c r="H46" s="80"/>
      <c r="I46" s="81"/>
    </row>
    <row r="47" spans="1:9" s="30" customFormat="1" ht="49.5" x14ac:dyDescent="0.25">
      <c r="A47" s="21" t="s">
        <v>25</v>
      </c>
      <c r="B47" s="21" t="s">
        <v>41</v>
      </c>
      <c r="C47" s="21" t="s">
        <v>28</v>
      </c>
      <c r="D47" s="21" t="s">
        <v>42</v>
      </c>
      <c r="E47" s="21" t="s">
        <v>43</v>
      </c>
      <c r="F47" s="22" t="s">
        <v>30</v>
      </c>
      <c r="G47" s="21" t="s">
        <v>31</v>
      </c>
      <c r="H47" s="21" t="s">
        <v>45</v>
      </c>
      <c r="I47" s="21" t="s">
        <v>33</v>
      </c>
    </row>
    <row r="48" spans="1:9" s="83" customFormat="1" ht="18" customHeight="1" x14ac:dyDescent="0.25">
      <c r="A48" s="82">
        <v>1</v>
      </c>
      <c r="B48" s="82">
        <v>2</v>
      </c>
      <c r="C48" s="82">
        <v>3</v>
      </c>
      <c r="D48" s="82">
        <v>4</v>
      </c>
      <c r="E48" s="82">
        <v>5</v>
      </c>
      <c r="F48" s="82">
        <v>6</v>
      </c>
      <c r="G48" s="82">
        <v>7</v>
      </c>
      <c r="H48" s="82">
        <v>8</v>
      </c>
      <c r="I48" s="82">
        <v>9</v>
      </c>
    </row>
    <row r="49" spans="1:12" s="89" customFormat="1" ht="30" customHeight="1" x14ac:dyDescent="0.25">
      <c r="A49" s="21" t="s">
        <v>46</v>
      </c>
      <c r="B49" s="84" t="s">
        <v>47</v>
      </c>
      <c r="C49" s="85"/>
      <c r="D49" s="85"/>
      <c r="E49" s="86"/>
      <c r="F49" s="85"/>
      <c r="G49" s="85"/>
      <c r="H49" s="167">
        <f>SUM(H50:H55)</f>
        <v>0</v>
      </c>
      <c r="I49" s="88"/>
    </row>
    <row r="50" spans="1:12" s="89" customFormat="1" ht="25.15" customHeight="1" x14ac:dyDescent="0.25">
      <c r="A50" s="90">
        <v>1</v>
      </c>
      <c r="B50" s="91" t="s">
        <v>388</v>
      </c>
      <c r="C50" s="64" t="s">
        <v>106</v>
      </c>
      <c r="D50" s="90" t="s">
        <v>387</v>
      </c>
      <c r="E50" s="231">
        <f>4.11*7.31</f>
        <v>30.0441</v>
      </c>
      <c r="F50" s="93"/>
      <c r="G50" s="93"/>
      <c r="H50" s="159"/>
      <c r="I50" s="347" t="s">
        <v>110</v>
      </c>
    </row>
    <row r="51" spans="1:12" s="89" customFormat="1" ht="25.15" customHeight="1" x14ac:dyDescent="0.25">
      <c r="A51" s="90">
        <v>2</v>
      </c>
      <c r="B51" s="91" t="s">
        <v>389</v>
      </c>
      <c r="C51" s="64" t="s">
        <v>106</v>
      </c>
      <c r="D51" s="90" t="s">
        <v>390</v>
      </c>
      <c r="E51" s="244">
        <v>14.45</v>
      </c>
      <c r="F51" s="93"/>
      <c r="G51" s="93"/>
      <c r="H51" s="159"/>
      <c r="I51" s="348"/>
    </row>
    <row r="52" spans="1:12" s="89" customFormat="1" ht="74.45" customHeight="1" x14ac:dyDescent="0.25">
      <c r="A52" s="90">
        <v>3</v>
      </c>
      <c r="B52" s="91" t="s">
        <v>391</v>
      </c>
      <c r="C52" s="64" t="s">
        <v>106</v>
      </c>
      <c r="D52" s="96" t="s">
        <v>392</v>
      </c>
      <c r="E52" s="92">
        <f>C20-E51</f>
        <v>67.95</v>
      </c>
      <c r="F52" s="93"/>
      <c r="G52" s="93"/>
      <c r="H52" s="159"/>
      <c r="I52" s="348"/>
    </row>
    <row r="53" spans="1:12" s="89" customFormat="1" ht="37.15" customHeight="1" x14ac:dyDescent="0.25">
      <c r="A53" s="90"/>
      <c r="B53" s="132" t="s">
        <v>393</v>
      </c>
      <c r="C53" s="64" t="s">
        <v>106</v>
      </c>
      <c r="D53" s="96" t="s">
        <v>394</v>
      </c>
      <c r="E53" s="92">
        <f>C23</f>
        <v>29.300000000000004</v>
      </c>
      <c r="F53" s="93"/>
      <c r="G53" s="93"/>
      <c r="H53" s="159"/>
      <c r="I53" s="348"/>
    </row>
    <row r="54" spans="1:12" s="89" customFormat="1" ht="42" customHeight="1" x14ac:dyDescent="0.25">
      <c r="A54" s="90"/>
      <c r="B54" s="132" t="s">
        <v>109</v>
      </c>
      <c r="C54" s="64" t="s">
        <v>106</v>
      </c>
      <c r="D54" s="96" t="s">
        <v>395</v>
      </c>
      <c r="E54" s="92">
        <f>E52-E53</f>
        <v>38.65</v>
      </c>
      <c r="F54" s="93"/>
      <c r="G54" s="93"/>
      <c r="H54" s="159"/>
      <c r="I54" s="348"/>
    </row>
    <row r="55" spans="1:12" s="89" customFormat="1" ht="24.75" customHeight="1" x14ac:dyDescent="0.25">
      <c r="A55" s="90">
        <v>4</v>
      </c>
      <c r="B55" s="132" t="s">
        <v>95</v>
      </c>
      <c r="C55" s="64" t="s">
        <v>127</v>
      </c>
      <c r="D55" s="96" t="s">
        <v>396</v>
      </c>
      <c r="E55" s="92">
        <v>12</v>
      </c>
      <c r="F55" s="93"/>
      <c r="G55" s="93"/>
      <c r="H55" s="159"/>
      <c r="I55" s="348"/>
    </row>
    <row r="56" spans="1:12" s="89" customFormat="1" ht="25.5" customHeight="1" x14ac:dyDescent="0.25">
      <c r="A56" s="21" t="s">
        <v>48</v>
      </c>
      <c r="B56" s="84" t="s">
        <v>49</v>
      </c>
      <c r="C56" s="85"/>
      <c r="D56" s="85"/>
      <c r="E56" s="92"/>
      <c r="F56" s="85"/>
      <c r="G56" s="85"/>
      <c r="H56" s="167">
        <f>SUM(H57:H57)</f>
        <v>0</v>
      </c>
      <c r="I56" s="95"/>
    </row>
    <row r="57" spans="1:12" s="89" customFormat="1" ht="28.5" customHeight="1" x14ac:dyDescent="0.25">
      <c r="A57" s="90">
        <v>1</v>
      </c>
      <c r="B57" s="91"/>
      <c r="C57" s="93"/>
      <c r="D57" s="90"/>
      <c r="E57" s="92"/>
      <c r="F57" s="97"/>
      <c r="G57" s="98"/>
      <c r="H57" s="168"/>
      <c r="I57" s="156"/>
    </row>
    <row r="58" spans="1:12" s="102" customFormat="1" ht="31.5" customHeight="1" x14ac:dyDescent="0.25">
      <c r="A58" s="126"/>
      <c r="B58" s="100" t="s">
        <v>50</v>
      </c>
      <c r="C58" s="100"/>
      <c r="D58" s="100"/>
      <c r="E58" s="100"/>
      <c r="F58" s="100"/>
      <c r="G58" s="100"/>
      <c r="H58" s="158">
        <f>H49+H56</f>
        <v>0</v>
      </c>
      <c r="I58" s="101"/>
    </row>
    <row r="59" spans="1:12" ht="22.5" customHeight="1" x14ac:dyDescent="0.25">
      <c r="A59" s="127">
        <v>4</v>
      </c>
      <c r="B59" s="337" t="s">
        <v>51</v>
      </c>
      <c r="C59" s="337"/>
      <c r="D59" s="337"/>
      <c r="E59" s="337"/>
      <c r="F59" s="337"/>
      <c r="G59" s="337"/>
      <c r="H59" s="51"/>
      <c r="I59" s="51"/>
    </row>
    <row r="60" spans="1:12" s="104" customFormat="1" ht="49.5" x14ac:dyDescent="0.25">
      <c r="A60" s="103" t="s">
        <v>25</v>
      </c>
      <c r="B60" s="338" t="s">
        <v>52</v>
      </c>
      <c r="C60" s="339"/>
      <c r="D60" s="21" t="s">
        <v>29</v>
      </c>
      <c r="E60" s="21" t="s">
        <v>53</v>
      </c>
      <c r="F60" s="21" t="s">
        <v>44</v>
      </c>
      <c r="G60" s="21" t="s">
        <v>54</v>
      </c>
      <c r="H60" s="21" t="s">
        <v>45</v>
      </c>
      <c r="I60" s="21" t="s">
        <v>33</v>
      </c>
    </row>
    <row r="61" spans="1:12" ht="26.25" customHeight="1" x14ac:dyDescent="0.25">
      <c r="A61" s="105"/>
      <c r="B61" s="340"/>
      <c r="C61" s="341"/>
      <c r="D61" s="106"/>
      <c r="E61" s="105"/>
      <c r="F61" s="107"/>
      <c r="G61" s="108"/>
      <c r="H61" s="108"/>
      <c r="I61" s="109"/>
      <c r="L61" s="110"/>
    </row>
    <row r="62" spans="1:12" s="112" customFormat="1" ht="27.75" customHeight="1" x14ac:dyDescent="0.25">
      <c r="A62" s="126"/>
      <c r="B62" s="342" t="s">
        <v>34</v>
      </c>
      <c r="C62" s="343"/>
      <c r="D62" s="100"/>
      <c r="E62" s="100"/>
      <c r="F62" s="100"/>
      <c r="G62" s="100"/>
      <c r="H62" s="163">
        <f>SUM(H61)</f>
        <v>0</v>
      </c>
      <c r="I62" s="111"/>
      <c r="L62" s="113"/>
    </row>
    <row r="63" spans="1:12" s="115" customFormat="1" ht="27.75" customHeight="1" x14ac:dyDescent="0.25">
      <c r="A63" s="128">
        <v>5</v>
      </c>
      <c r="B63" s="344" t="s">
        <v>56</v>
      </c>
      <c r="C63" s="344"/>
      <c r="D63" s="344"/>
      <c r="E63" s="344"/>
      <c r="F63" s="344"/>
      <c r="G63" s="345"/>
      <c r="H63" s="164">
        <f>H62+H58+H40+H34</f>
        <v>0</v>
      </c>
      <c r="I63" s="114" t="s">
        <v>57</v>
      </c>
    </row>
    <row r="64" spans="1:12" s="117" customFormat="1" ht="17.25" x14ac:dyDescent="0.25">
      <c r="A64" s="129"/>
      <c r="B64" s="116" t="s">
        <v>78</v>
      </c>
      <c r="C64" s="346" t="s">
        <v>91</v>
      </c>
      <c r="D64" s="346"/>
      <c r="E64" s="346"/>
      <c r="F64" s="346"/>
      <c r="G64" s="346"/>
      <c r="H64" s="346"/>
      <c r="I64" s="346"/>
    </row>
    <row r="65" spans="1:9" s="41" customFormat="1" ht="17.25" hidden="1" x14ac:dyDescent="0.3">
      <c r="A65" s="39"/>
      <c r="B65" s="118"/>
      <c r="E65" s="119"/>
      <c r="F65" s="316" t="s">
        <v>75</v>
      </c>
      <c r="G65" s="316"/>
      <c r="H65" s="316"/>
      <c r="I65" s="316"/>
    </row>
    <row r="66" spans="1:9" hidden="1" x14ac:dyDescent="0.25">
      <c r="F66" s="316" t="s">
        <v>76</v>
      </c>
      <c r="G66" s="316"/>
      <c r="H66" s="316"/>
      <c r="I66" s="316"/>
    </row>
    <row r="67" spans="1:9" hidden="1" x14ac:dyDescent="0.25">
      <c r="F67" s="317"/>
      <c r="G67" s="317"/>
      <c r="H67" s="317"/>
      <c r="I67" s="317"/>
    </row>
    <row r="68" spans="1:9" hidden="1" x14ac:dyDescent="0.25"/>
    <row r="69" spans="1:9" hidden="1" x14ac:dyDescent="0.25"/>
    <row r="70" spans="1:9" hidden="1" x14ac:dyDescent="0.25"/>
    <row r="71" spans="1:9" hidden="1" x14ac:dyDescent="0.25"/>
    <row r="72" spans="1:9" hidden="1" x14ac:dyDescent="0.25"/>
    <row r="73" spans="1:9" hidden="1" x14ac:dyDescent="0.25">
      <c r="F73" s="318" t="s">
        <v>77</v>
      </c>
      <c r="G73" s="318"/>
      <c r="H73" s="318"/>
      <c r="I73" s="318"/>
    </row>
    <row r="74" spans="1:9" ht="65.25" customHeight="1" x14ac:dyDescent="0.25">
      <c r="A74" s="319" t="s">
        <v>100</v>
      </c>
      <c r="B74" s="319"/>
      <c r="C74" s="319"/>
      <c r="D74" s="319"/>
      <c r="E74" s="319"/>
      <c r="F74" s="319"/>
      <c r="G74" s="319"/>
      <c r="H74" s="319"/>
      <c r="I74" s="319"/>
    </row>
    <row r="75" spans="1:9" x14ac:dyDescent="0.25">
      <c r="A75" s="315" t="s">
        <v>102</v>
      </c>
      <c r="B75" s="315"/>
      <c r="C75" s="315"/>
      <c r="D75" s="315"/>
      <c r="E75" s="315"/>
      <c r="F75" s="315"/>
      <c r="G75" s="315"/>
      <c r="H75" s="315"/>
      <c r="I75" s="315"/>
    </row>
    <row r="76" spans="1:9" x14ac:dyDescent="0.25">
      <c r="A76" s="320" t="s">
        <v>107</v>
      </c>
      <c r="B76" s="320"/>
      <c r="C76" s="320"/>
      <c r="D76" s="321"/>
      <c r="E76" s="322" t="s">
        <v>108</v>
      </c>
      <c r="F76" s="323"/>
      <c r="G76" s="323"/>
      <c r="H76" s="323"/>
      <c r="I76" s="323"/>
    </row>
    <row r="77" spans="1:9" x14ac:dyDescent="0.25">
      <c r="A77" s="320"/>
      <c r="B77" s="320"/>
      <c r="C77" s="320"/>
      <c r="D77" s="321"/>
      <c r="E77" s="322"/>
      <c r="F77" s="323"/>
      <c r="G77" s="323"/>
      <c r="H77" s="323"/>
      <c r="I77" s="323"/>
    </row>
    <row r="78" spans="1:9" x14ac:dyDescent="0.25">
      <c r="A78" s="320"/>
      <c r="B78" s="320"/>
      <c r="C78" s="320"/>
      <c r="D78" s="321"/>
      <c r="E78" s="38"/>
      <c r="I78" s="20"/>
    </row>
    <row r="79" spans="1:9" x14ac:dyDescent="0.25">
      <c r="A79" s="315" t="s">
        <v>101</v>
      </c>
      <c r="B79" s="315"/>
      <c r="C79" s="315"/>
      <c r="D79" s="315"/>
      <c r="E79" s="315"/>
      <c r="F79" s="315"/>
      <c r="G79" s="315"/>
      <c r="H79" s="315"/>
      <c r="I79" s="315"/>
    </row>
  </sheetData>
  <mergeCells count="57">
    <mergeCell ref="A42:A44"/>
    <mergeCell ref="B42:G42"/>
    <mergeCell ref="B43:G43"/>
    <mergeCell ref="B44:G44"/>
    <mergeCell ref="B46:G46"/>
    <mergeCell ref="A79:I79"/>
    <mergeCell ref="I50:I55"/>
    <mergeCell ref="F66:I66"/>
    <mergeCell ref="F67:I67"/>
    <mergeCell ref="F73:I73"/>
    <mergeCell ref="B59:G59"/>
    <mergeCell ref="A74:I74"/>
    <mergeCell ref="A75:I75"/>
    <mergeCell ref="A76:D78"/>
    <mergeCell ref="E76:I77"/>
    <mergeCell ref="B60:C60"/>
    <mergeCell ref="B61:C61"/>
    <mergeCell ref="B62:C62"/>
    <mergeCell ref="B63:G63"/>
    <mergeCell ref="C64:I64"/>
    <mergeCell ref="F65:I65"/>
    <mergeCell ref="A30:A31"/>
    <mergeCell ref="B30:I30"/>
    <mergeCell ref="B31:C31"/>
    <mergeCell ref="B32:C32"/>
    <mergeCell ref="B33:C33"/>
    <mergeCell ref="B34:C34"/>
    <mergeCell ref="C25:I25"/>
    <mergeCell ref="B26:F26"/>
    <mergeCell ref="B27:G27"/>
    <mergeCell ref="B28:I28"/>
    <mergeCell ref="B29:I29"/>
    <mergeCell ref="B40:C40"/>
    <mergeCell ref="B36:I36"/>
    <mergeCell ref="B37:C37"/>
    <mergeCell ref="B38:C38"/>
    <mergeCell ref="B39:C39"/>
    <mergeCell ref="B17:I17"/>
    <mergeCell ref="D19:E19"/>
    <mergeCell ref="C24:I24"/>
    <mergeCell ref="C10:I10"/>
    <mergeCell ref="C11:I11"/>
    <mergeCell ref="C14:I14"/>
    <mergeCell ref="C15:I15"/>
    <mergeCell ref="F13:I13"/>
    <mergeCell ref="A5:I5"/>
    <mergeCell ref="A6:I6"/>
    <mergeCell ref="A7:I7"/>
    <mergeCell ref="B8:I8"/>
    <mergeCell ref="B9:E9"/>
    <mergeCell ref="F9:I9"/>
    <mergeCell ref="A1:D1"/>
    <mergeCell ref="E1:I1"/>
    <mergeCell ref="A2:D2"/>
    <mergeCell ref="E2:I2"/>
    <mergeCell ref="A4:C4"/>
    <mergeCell ref="E4:I4"/>
  </mergeCells>
  <pageMargins left="0.11811023622047245" right="0.11811023622047245" top="0.19685039370078741" bottom="0.15748031496062992" header="0.19685039370078741" footer="0.15748031496062992"/>
  <pageSetup paperSize="9" scale="80" orientation="portrait"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79"/>
  <sheetViews>
    <sheetView topLeftCell="A43" workbookViewId="0">
      <selection activeCell="B39" sqref="B39:C39"/>
    </sheetView>
  </sheetViews>
  <sheetFormatPr defaultColWidth="9.140625" defaultRowHeight="16.5" x14ac:dyDescent="0.25"/>
  <cols>
    <col min="1" max="1" width="4.42578125" style="68" customWidth="1"/>
    <col min="2" max="2" width="27.140625" style="20" customWidth="1"/>
    <col min="3" max="3" width="8.42578125" style="20" customWidth="1"/>
    <col min="4" max="4" width="22" style="20" customWidth="1"/>
    <col min="5" max="5" width="10.7109375" style="23" customWidth="1"/>
    <col min="6" max="6" width="12.28515625" style="20" customWidth="1"/>
    <col min="7" max="7" width="9.42578125" style="20" customWidth="1"/>
    <col min="8" max="8" width="13.42578125" style="20" customWidth="1"/>
    <col min="9" max="9" width="17.7109375" style="120" customWidth="1"/>
    <col min="10" max="10" width="9.140625" style="20" customWidth="1"/>
    <col min="11" max="11" width="56.42578125" style="20" customWidth="1"/>
    <col min="12" max="12" width="11.42578125" style="20" customWidth="1"/>
    <col min="13" max="19" width="9.140625" style="20" customWidth="1"/>
    <col min="20" max="16384" width="9.140625" style="20"/>
  </cols>
  <sheetData>
    <row r="1" spans="1:17" s="36" customFormat="1" x14ac:dyDescent="0.25">
      <c r="A1" s="368" t="s">
        <v>98</v>
      </c>
      <c r="B1" s="368"/>
      <c r="C1" s="368"/>
      <c r="D1" s="368"/>
      <c r="E1" s="368" t="s">
        <v>0</v>
      </c>
      <c r="F1" s="368"/>
      <c r="G1" s="368"/>
      <c r="H1" s="368"/>
      <c r="I1" s="368"/>
    </row>
    <row r="2" spans="1:17" s="36" customFormat="1" x14ac:dyDescent="0.25">
      <c r="A2" s="369" t="s">
        <v>99</v>
      </c>
      <c r="B2" s="369"/>
      <c r="C2" s="369"/>
      <c r="D2" s="369"/>
      <c r="E2" s="369" t="s">
        <v>1</v>
      </c>
      <c r="F2" s="368"/>
      <c r="G2" s="368"/>
      <c r="H2" s="368"/>
      <c r="I2" s="368"/>
    </row>
    <row r="3" spans="1:17" s="36" customFormat="1" ht="15.75" customHeight="1" x14ac:dyDescent="0.25">
      <c r="A3" s="39"/>
      <c r="C3" s="39"/>
      <c r="D3" s="39"/>
      <c r="E3" s="39"/>
      <c r="F3" s="39"/>
      <c r="G3" s="39"/>
      <c r="H3" s="39"/>
      <c r="I3" s="37"/>
    </row>
    <row r="4" spans="1:17" s="36" customFormat="1" ht="24.75" customHeight="1" x14ac:dyDescent="0.25">
      <c r="A4" s="369" t="s">
        <v>89</v>
      </c>
      <c r="B4" s="369"/>
      <c r="C4" s="369"/>
      <c r="D4" s="369"/>
      <c r="E4" s="370" t="s">
        <v>185</v>
      </c>
      <c r="F4" s="370"/>
      <c r="G4" s="370"/>
      <c r="H4" s="370"/>
      <c r="I4" s="370"/>
    </row>
    <row r="5" spans="1:17" s="40" customFormat="1" ht="18.75" customHeight="1" x14ac:dyDescent="0.25">
      <c r="A5" s="371" t="s">
        <v>85</v>
      </c>
      <c r="B5" s="371"/>
      <c r="C5" s="371"/>
      <c r="D5" s="371"/>
      <c r="E5" s="371"/>
      <c r="F5" s="371"/>
      <c r="G5" s="371"/>
      <c r="H5" s="371"/>
      <c r="I5" s="371"/>
    </row>
    <row r="6" spans="1:17" s="40" customFormat="1" ht="36" customHeight="1" x14ac:dyDescent="0.25">
      <c r="A6" s="372" t="s">
        <v>86</v>
      </c>
      <c r="B6" s="372"/>
      <c r="C6" s="372"/>
      <c r="D6" s="372"/>
      <c r="E6" s="372"/>
      <c r="F6" s="372"/>
      <c r="G6" s="372"/>
      <c r="H6" s="372"/>
      <c r="I6" s="372"/>
      <c r="Q6" s="41"/>
    </row>
    <row r="7" spans="1:17" s="40" customFormat="1" ht="23.25" customHeight="1" x14ac:dyDescent="0.25">
      <c r="A7" s="373" t="s">
        <v>166</v>
      </c>
      <c r="B7" s="373"/>
      <c r="C7" s="373"/>
      <c r="D7" s="373"/>
      <c r="E7" s="373"/>
      <c r="F7" s="373"/>
      <c r="G7" s="373"/>
      <c r="H7" s="373"/>
      <c r="I7" s="373"/>
    </row>
    <row r="8" spans="1:17" s="42" customFormat="1" ht="19.899999999999999" customHeight="1" x14ac:dyDescent="0.25">
      <c r="A8" s="121" t="s">
        <v>2</v>
      </c>
      <c r="B8" s="362" t="s">
        <v>3</v>
      </c>
      <c r="C8" s="362"/>
      <c r="D8" s="362"/>
      <c r="E8" s="362"/>
      <c r="F8" s="362"/>
      <c r="G8" s="362"/>
      <c r="H8" s="362"/>
      <c r="I8" s="362"/>
    </row>
    <row r="9" spans="1:17" s="42" customFormat="1" ht="19.899999999999999" customHeight="1" x14ac:dyDescent="0.25">
      <c r="A9" s="121" t="s">
        <v>4</v>
      </c>
      <c r="B9" s="374" t="s">
        <v>5</v>
      </c>
      <c r="C9" s="374"/>
      <c r="D9" s="374"/>
      <c r="E9" s="374"/>
      <c r="F9" s="365" t="s">
        <v>265</v>
      </c>
      <c r="G9" s="365"/>
      <c r="H9" s="365"/>
      <c r="I9" s="365"/>
    </row>
    <row r="10" spans="1:17" s="42" customFormat="1" ht="19.899999999999999" customHeight="1" x14ac:dyDescent="0.25">
      <c r="A10" s="122"/>
      <c r="B10" s="24" t="s">
        <v>6</v>
      </c>
      <c r="C10" s="365" t="s">
        <v>266</v>
      </c>
      <c r="D10" s="365"/>
      <c r="E10" s="365"/>
      <c r="F10" s="365"/>
      <c r="G10" s="365"/>
      <c r="H10" s="365"/>
      <c r="I10" s="365"/>
    </row>
    <row r="11" spans="1:17" s="42" customFormat="1" ht="19.899999999999999" customHeight="1" x14ac:dyDescent="0.25">
      <c r="A11" s="122"/>
      <c r="B11" s="24" t="s">
        <v>7</v>
      </c>
      <c r="C11" s="365" t="s">
        <v>266</v>
      </c>
      <c r="D11" s="365"/>
      <c r="E11" s="365"/>
      <c r="F11" s="365"/>
      <c r="G11" s="365"/>
      <c r="H11" s="365"/>
      <c r="I11" s="365"/>
    </row>
    <row r="12" spans="1:17" s="42" customFormat="1" ht="19.899999999999999" customHeight="1" x14ac:dyDescent="0.25">
      <c r="A12" s="122"/>
      <c r="B12" s="24" t="s">
        <v>11</v>
      </c>
      <c r="C12" s="361" t="s">
        <v>267</v>
      </c>
      <c r="D12" s="361"/>
      <c r="E12" s="361"/>
      <c r="F12" s="43"/>
      <c r="G12" s="43"/>
      <c r="H12" s="43"/>
      <c r="I12" s="43"/>
    </row>
    <row r="13" spans="1:17" s="42" customFormat="1" ht="19.899999999999999" customHeight="1" x14ac:dyDescent="0.25">
      <c r="A13" s="121" t="s">
        <v>9</v>
      </c>
      <c r="B13" s="44" t="s">
        <v>10</v>
      </c>
      <c r="E13" s="43"/>
      <c r="F13" s="362" t="str">
        <f>F9</f>
        <v>Nguyễn Thị Nguyên</v>
      </c>
      <c r="G13" s="362"/>
      <c r="H13" s="362"/>
      <c r="I13" s="362"/>
      <c r="J13" s="143"/>
    </row>
    <row r="14" spans="1:17" s="42" customFormat="1" ht="19.899999999999999" customHeight="1" x14ac:dyDescent="0.25">
      <c r="A14" s="122"/>
      <c r="B14" s="24" t="s">
        <v>6</v>
      </c>
      <c r="C14" s="365" t="str">
        <f>+C10</f>
        <v>Thôn Đông Cựu Đồi - xã Phú Nghĩa - TP Hà Nội</v>
      </c>
      <c r="D14" s="365"/>
      <c r="E14" s="365"/>
      <c r="F14" s="365"/>
      <c r="G14" s="365"/>
      <c r="H14" s="365"/>
      <c r="I14" s="365"/>
    </row>
    <row r="15" spans="1:17" s="42" customFormat="1" ht="19.899999999999999" customHeight="1" x14ac:dyDescent="0.25">
      <c r="A15" s="122"/>
      <c r="B15" s="24" t="s">
        <v>7</v>
      </c>
      <c r="C15" s="365" t="str">
        <f>C11</f>
        <v>Thôn Đông Cựu Đồi - xã Phú Nghĩa - TP Hà Nội</v>
      </c>
      <c r="D15" s="365"/>
      <c r="E15" s="365"/>
      <c r="F15" s="365"/>
      <c r="G15" s="365"/>
      <c r="H15" s="365"/>
      <c r="I15" s="365"/>
    </row>
    <row r="16" spans="1:17" s="42" customFormat="1" ht="19.899999999999999" customHeight="1" x14ac:dyDescent="0.25">
      <c r="A16" s="122"/>
      <c r="B16" s="24" t="s">
        <v>11</v>
      </c>
      <c r="C16" s="361" t="str">
        <f>+C12</f>
        <v>001165004448</v>
      </c>
      <c r="D16" s="361"/>
      <c r="E16" s="361"/>
      <c r="F16" s="43"/>
      <c r="G16" s="43"/>
      <c r="H16" s="43"/>
      <c r="I16" s="43"/>
    </row>
    <row r="17" spans="1:19" s="42" customFormat="1" ht="19.899999999999999" customHeight="1" x14ac:dyDescent="0.25">
      <c r="A17" s="121" t="s">
        <v>12</v>
      </c>
      <c r="B17" s="362" t="s">
        <v>13</v>
      </c>
      <c r="C17" s="362"/>
      <c r="D17" s="362"/>
      <c r="E17" s="362"/>
      <c r="F17" s="362"/>
      <c r="G17" s="362"/>
      <c r="H17" s="362"/>
      <c r="I17" s="362"/>
    </row>
    <row r="18" spans="1:19" s="42" customFormat="1" ht="19.899999999999999" customHeight="1" x14ac:dyDescent="0.25">
      <c r="A18" s="121" t="s">
        <v>4</v>
      </c>
      <c r="B18" s="46" t="s">
        <v>14</v>
      </c>
      <c r="E18" s="43"/>
    </row>
    <row r="19" spans="1:19" s="51" customFormat="1" ht="19.899999999999999" customHeight="1" x14ac:dyDescent="0.25">
      <c r="A19" s="123"/>
      <c r="B19" s="47" t="s">
        <v>15</v>
      </c>
      <c r="C19" s="144">
        <v>45</v>
      </c>
      <c r="D19" s="363" t="s">
        <v>16</v>
      </c>
      <c r="E19" s="363"/>
      <c r="F19" s="49" t="s">
        <v>128</v>
      </c>
      <c r="G19" s="50"/>
      <c r="I19" s="50"/>
    </row>
    <row r="20" spans="1:19" s="51" customFormat="1" ht="19.899999999999999" customHeight="1" x14ac:dyDescent="0.25">
      <c r="A20" s="123"/>
      <c r="B20" s="47" t="s">
        <v>17</v>
      </c>
      <c r="C20" s="52">
        <v>60.5</v>
      </c>
      <c r="D20" s="50" t="s">
        <v>105</v>
      </c>
      <c r="E20" s="53"/>
      <c r="F20" s="54"/>
      <c r="H20" s="55"/>
      <c r="I20" s="50"/>
    </row>
    <row r="21" spans="1:19" s="51" customFormat="1" ht="19.899999999999999" customHeight="1" x14ac:dyDescent="0.25">
      <c r="A21" s="123"/>
      <c r="B21" s="56" t="s">
        <v>18</v>
      </c>
      <c r="C21" s="57"/>
      <c r="D21" s="50"/>
      <c r="E21" s="53"/>
      <c r="F21" s="50"/>
      <c r="H21" s="55"/>
      <c r="I21" s="50"/>
    </row>
    <row r="22" spans="1:19" s="51" customFormat="1" ht="19.899999999999999" customHeight="1" x14ac:dyDescent="0.25">
      <c r="A22" s="123"/>
      <c r="B22" s="47" t="s">
        <v>19</v>
      </c>
      <c r="C22" s="52">
        <v>43</v>
      </c>
      <c r="D22" s="50" t="s">
        <v>105</v>
      </c>
      <c r="E22" s="53"/>
      <c r="F22" s="50"/>
      <c r="H22" s="55"/>
      <c r="I22" s="50"/>
    </row>
    <row r="23" spans="1:19" s="51" customFormat="1" ht="19.899999999999999" customHeight="1" x14ac:dyDescent="0.25">
      <c r="A23" s="123"/>
      <c r="B23" s="47" t="s">
        <v>20</v>
      </c>
      <c r="C23" s="57">
        <f>C20-C22</f>
        <v>17.5</v>
      </c>
      <c r="D23" s="50" t="s">
        <v>105</v>
      </c>
      <c r="E23" s="53"/>
      <c r="F23" s="50"/>
      <c r="H23" s="55"/>
      <c r="I23" s="50"/>
    </row>
    <row r="24" spans="1:19" s="42" customFormat="1" ht="21" customHeight="1" x14ac:dyDescent="0.25">
      <c r="A24" s="122"/>
      <c r="B24" s="24" t="s">
        <v>21</v>
      </c>
      <c r="C24" s="362" t="s">
        <v>251</v>
      </c>
      <c r="D24" s="362"/>
      <c r="E24" s="362"/>
      <c r="F24" s="362"/>
      <c r="G24" s="362"/>
      <c r="H24" s="362"/>
      <c r="I24" s="362"/>
    </row>
    <row r="25" spans="1:19" s="36" customFormat="1" ht="258" customHeight="1" x14ac:dyDescent="0.25">
      <c r="A25" s="39" t="s">
        <v>9</v>
      </c>
      <c r="B25" s="58" t="s">
        <v>73</v>
      </c>
      <c r="C25" s="366" t="s">
        <v>573</v>
      </c>
      <c r="D25" s="367"/>
      <c r="E25" s="367"/>
      <c r="F25" s="367"/>
      <c r="G25" s="367"/>
      <c r="H25" s="367"/>
      <c r="I25" s="367"/>
      <c r="J25" s="133"/>
      <c r="K25" s="133"/>
      <c r="L25" s="59"/>
      <c r="M25" s="59"/>
      <c r="N25" s="59"/>
      <c r="O25" s="59"/>
      <c r="P25" s="59"/>
      <c r="Q25" s="59"/>
      <c r="R25" s="59"/>
      <c r="S25" s="59"/>
    </row>
    <row r="26" spans="1:19" s="36" customFormat="1" ht="21" customHeight="1" x14ac:dyDescent="0.25">
      <c r="A26" s="39" t="s">
        <v>22</v>
      </c>
      <c r="B26" s="364" t="s">
        <v>82</v>
      </c>
      <c r="C26" s="364"/>
      <c r="D26" s="364"/>
      <c r="E26" s="364"/>
      <c r="F26" s="364"/>
      <c r="G26" s="60"/>
      <c r="H26" s="149" t="s">
        <v>112</v>
      </c>
      <c r="I26" s="60" t="s">
        <v>55</v>
      </c>
      <c r="J26" s="142"/>
      <c r="K26" s="142"/>
      <c r="L26" s="59"/>
      <c r="M26" s="59"/>
      <c r="N26" s="59"/>
      <c r="O26" s="59"/>
      <c r="P26" s="59"/>
      <c r="Q26" s="59"/>
      <c r="R26" s="59"/>
      <c r="S26" s="59"/>
    </row>
    <row r="27" spans="1:19" s="36" customFormat="1" ht="21" customHeight="1" x14ac:dyDescent="0.25">
      <c r="A27" s="39" t="s">
        <v>23</v>
      </c>
      <c r="B27" s="364" t="s">
        <v>65</v>
      </c>
      <c r="C27" s="364"/>
      <c r="D27" s="364"/>
      <c r="E27" s="364"/>
      <c r="F27" s="364"/>
      <c r="G27" s="364"/>
      <c r="H27" s="148" t="s">
        <v>132</v>
      </c>
      <c r="I27" s="60" t="s">
        <v>84</v>
      </c>
      <c r="J27" s="59"/>
      <c r="K27" s="59"/>
      <c r="L27" s="59"/>
      <c r="M27" s="59"/>
      <c r="N27" s="59"/>
      <c r="O27" s="59"/>
      <c r="P27" s="59"/>
      <c r="Q27" s="59"/>
      <c r="R27" s="59"/>
      <c r="S27" s="59"/>
    </row>
    <row r="28" spans="1:19" s="41" customFormat="1" x14ac:dyDescent="0.25">
      <c r="A28" s="39" t="s">
        <v>88</v>
      </c>
      <c r="B28" s="364" t="s">
        <v>87</v>
      </c>
      <c r="C28" s="364"/>
      <c r="D28" s="364"/>
      <c r="E28" s="364"/>
      <c r="F28" s="364"/>
      <c r="G28" s="364"/>
      <c r="H28" s="364"/>
      <c r="I28" s="364"/>
    </row>
    <row r="29" spans="1:19" s="40" customFormat="1" ht="21.75" customHeight="1" x14ac:dyDescent="0.25">
      <c r="A29" s="39" t="s">
        <v>4</v>
      </c>
      <c r="B29" s="360" t="s">
        <v>24</v>
      </c>
      <c r="C29" s="360"/>
      <c r="D29" s="360"/>
      <c r="E29" s="360"/>
      <c r="F29" s="360"/>
      <c r="G29" s="360"/>
      <c r="H29" s="360"/>
      <c r="I29" s="360"/>
      <c r="J29" s="41"/>
      <c r="K29" s="41"/>
      <c r="L29" s="41"/>
      <c r="M29" s="41"/>
      <c r="N29" s="41"/>
      <c r="O29" s="41"/>
      <c r="P29" s="41"/>
      <c r="Q29" s="41"/>
      <c r="R29" s="41"/>
      <c r="S29" s="41"/>
    </row>
    <row r="30" spans="1:19" s="24" customFormat="1" ht="32.25" customHeight="1" x14ac:dyDescent="0.25">
      <c r="A30" s="351" t="s">
        <v>25</v>
      </c>
      <c r="B30" s="353" t="s">
        <v>26</v>
      </c>
      <c r="C30" s="354"/>
      <c r="D30" s="354"/>
      <c r="E30" s="354"/>
      <c r="F30" s="354"/>
      <c r="G30" s="354"/>
      <c r="H30" s="354"/>
      <c r="I30" s="355"/>
    </row>
    <row r="31" spans="1:19" s="25" customFormat="1" ht="49.5" x14ac:dyDescent="0.25">
      <c r="A31" s="352"/>
      <c r="B31" s="353" t="s">
        <v>27</v>
      </c>
      <c r="C31" s="355"/>
      <c r="D31" s="21" t="s">
        <v>28</v>
      </c>
      <c r="E31" s="22" t="s">
        <v>29</v>
      </c>
      <c r="F31" s="22" t="s">
        <v>30</v>
      </c>
      <c r="G31" s="21" t="s">
        <v>31</v>
      </c>
      <c r="H31" s="22" t="s">
        <v>104</v>
      </c>
      <c r="I31" s="22" t="s">
        <v>33</v>
      </c>
    </row>
    <row r="32" spans="1:19" s="62" customFormat="1" ht="18.75" customHeight="1" x14ac:dyDescent="0.25">
      <c r="A32" s="61">
        <v>1</v>
      </c>
      <c r="B32" s="356">
        <v>2</v>
      </c>
      <c r="C32" s="357"/>
      <c r="D32" s="61">
        <v>3</v>
      </c>
      <c r="E32" s="61">
        <v>4</v>
      </c>
      <c r="F32" s="61">
        <v>5</v>
      </c>
      <c r="G32" s="61">
        <v>6</v>
      </c>
      <c r="H32" s="61">
        <v>7</v>
      </c>
      <c r="I32" s="61">
        <v>8</v>
      </c>
    </row>
    <row r="33" spans="1:9" s="68" customFormat="1" ht="37.9" customHeight="1" x14ac:dyDescent="0.25">
      <c r="A33" s="63">
        <v>1</v>
      </c>
      <c r="B33" s="358" t="s">
        <v>563</v>
      </c>
      <c r="C33" s="359"/>
      <c r="D33" s="64" t="s">
        <v>106</v>
      </c>
      <c r="E33" s="65">
        <f>C22</f>
        <v>43</v>
      </c>
      <c r="F33" s="63"/>
      <c r="G33" s="66"/>
      <c r="H33" s="63">
        <f>E33*F33*G33</f>
        <v>0</v>
      </c>
      <c r="I33" s="67"/>
    </row>
    <row r="34" spans="1:9" s="71" customFormat="1" ht="30.75" customHeight="1" x14ac:dyDescent="0.25">
      <c r="A34" s="69"/>
      <c r="B34" s="349" t="s">
        <v>34</v>
      </c>
      <c r="C34" s="350"/>
      <c r="D34" s="69"/>
      <c r="E34" s="69"/>
      <c r="F34" s="69"/>
      <c r="G34" s="69"/>
      <c r="H34" s="70">
        <f>SUM(H33:H33)</f>
        <v>0</v>
      </c>
      <c r="I34" s="69"/>
    </row>
    <row r="35" spans="1:9" ht="12" customHeight="1" x14ac:dyDescent="0.25">
      <c r="A35" s="77"/>
      <c r="B35" s="72"/>
      <c r="C35" s="72"/>
      <c r="D35" s="73"/>
      <c r="E35" s="73"/>
      <c r="F35" s="73"/>
      <c r="G35" s="73"/>
      <c r="H35" s="73"/>
      <c r="I35" s="73"/>
    </row>
    <row r="36" spans="1:9" x14ac:dyDescent="0.25">
      <c r="A36" s="75" t="s">
        <v>9</v>
      </c>
      <c r="B36" s="360" t="s">
        <v>35</v>
      </c>
      <c r="C36" s="360"/>
      <c r="D36" s="360"/>
      <c r="E36" s="360"/>
      <c r="F36" s="360"/>
      <c r="G36" s="360"/>
      <c r="H36" s="360"/>
      <c r="I36" s="360"/>
    </row>
    <row r="37" spans="1:9" s="23" customFormat="1" ht="49.5" x14ac:dyDescent="0.25">
      <c r="A37" s="29" t="s">
        <v>25</v>
      </c>
      <c r="B37" s="353" t="s">
        <v>27</v>
      </c>
      <c r="C37" s="355"/>
      <c r="D37" s="21" t="s">
        <v>28</v>
      </c>
      <c r="E37" s="22" t="s">
        <v>29</v>
      </c>
      <c r="F37" s="22" t="s">
        <v>30</v>
      </c>
      <c r="G37" s="21" t="s">
        <v>31</v>
      </c>
      <c r="H37" s="22" t="s">
        <v>32</v>
      </c>
      <c r="I37" s="22" t="s">
        <v>33</v>
      </c>
    </row>
    <row r="38" spans="1:9" s="62" customFormat="1" ht="18" customHeight="1" x14ac:dyDescent="0.25">
      <c r="A38" s="61">
        <v>1</v>
      </c>
      <c r="B38" s="356">
        <v>2</v>
      </c>
      <c r="C38" s="357"/>
      <c r="D38" s="61">
        <v>3</v>
      </c>
      <c r="E38" s="61">
        <v>4</v>
      </c>
      <c r="F38" s="61">
        <v>5</v>
      </c>
      <c r="G38" s="61">
        <v>6</v>
      </c>
      <c r="H38" s="61">
        <v>7</v>
      </c>
      <c r="I38" s="61">
        <v>8</v>
      </c>
    </row>
    <row r="39" spans="1:9" ht="36" customHeight="1" x14ac:dyDescent="0.25">
      <c r="A39" s="26">
        <v>1</v>
      </c>
      <c r="B39" s="353"/>
      <c r="C39" s="355"/>
      <c r="D39" s="27"/>
      <c r="E39" s="22"/>
      <c r="F39" s="27"/>
      <c r="G39" s="27"/>
      <c r="H39" s="27"/>
      <c r="I39" s="26" t="s">
        <v>36</v>
      </c>
    </row>
    <row r="40" spans="1:9" s="71" customFormat="1" ht="18" customHeight="1" x14ac:dyDescent="0.25">
      <c r="A40" s="69"/>
      <c r="B40" s="349" t="s">
        <v>34</v>
      </c>
      <c r="C40" s="350"/>
      <c r="D40" s="74"/>
      <c r="E40" s="69"/>
      <c r="F40" s="74"/>
      <c r="G40" s="74"/>
      <c r="H40" s="74"/>
      <c r="I40" s="69"/>
    </row>
    <row r="41" spans="1:9" x14ac:dyDescent="0.25">
      <c r="A41" s="124"/>
      <c r="B41" s="75"/>
      <c r="C41" s="75"/>
      <c r="D41" s="76"/>
      <c r="E41" s="75"/>
      <c r="F41" s="76"/>
      <c r="G41" s="76"/>
      <c r="H41" s="76"/>
      <c r="I41" s="75"/>
    </row>
    <row r="42" spans="1:9" x14ac:dyDescent="0.25">
      <c r="A42" s="324"/>
      <c r="B42" s="327" t="s">
        <v>37</v>
      </c>
      <c r="C42" s="328"/>
      <c r="D42" s="328"/>
      <c r="E42" s="328"/>
      <c r="F42" s="328"/>
      <c r="G42" s="329"/>
      <c r="H42" s="27"/>
      <c r="I42" s="26" t="s">
        <v>74</v>
      </c>
    </row>
    <row r="43" spans="1:9" x14ac:dyDescent="0.25">
      <c r="A43" s="325"/>
      <c r="B43" s="330" t="s">
        <v>38</v>
      </c>
      <c r="C43" s="331"/>
      <c r="D43" s="331"/>
      <c r="E43" s="331"/>
      <c r="F43" s="331"/>
      <c r="G43" s="332"/>
      <c r="H43" s="27"/>
      <c r="I43" s="26" t="s">
        <v>74</v>
      </c>
    </row>
    <row r="44" spans="1:9" x14ac:dyDescent="0.25">
      <c r="A44" s="326"/>
      <c r="B44" s="333" t="s">
        <v>39</v>
      </c>
      <c r="C44" s="334"/>
      <c r="D44" s="334"/>
      <c r="E44" s="334"/>
      <c r="F44" s="334"/>
      <c r="G44" s="335"/>
      <c r="H44" s="27"/>
      <c r="I44" s="26" t="s">
        <v>74</v>
      </c>
    </row>
    <row r="45" spans="1:9" ht="9.75" customHeight="1" x14ac:dyDescent="0.25">
      <c r="A45" s="77"/>
      <c r="B45" s="72"/>
      <c r="C45" s="72"/>
      <c r="D45" s="72"/>
      <c r="E45" s="78"/>
      <c r="F45" s="72"/>
      <c r="G45" s="72"/>
      <c r="H45" s="79"/>
      <c r="I45" s="79"/>
    </row>
    <row r="46" spans="1:9" ht="20.25" customHeight="1" x14ac:dyDescent="0.25">
      <c r="A46" s="125" t="s">
        <v>22</v>
      </c>
      <c r="B46" s="376" t="s">
        <v>40</v>
      </c>
      <c r="C46" s="376"/>
      <c r="D46" s="376"/>
      <c r="E46" s="376"/>
      <c r="F46" s="376"/>
      <c r="G46" s="376"/>
      <c r="H46" s="80"/>
      <c r="I46" s="81"/>
    </row>
    <row r="47" spans="1:9" s="30" customFormat="1" ht="49.5" x14ac:dyDescent="0.25">
      <c r="A47" s="21" t="s">
        <v>25</v>
      </c>
      <c r="B47" s="21" t="s">
        <v>41</v>
      </c>
      <c r="C47" s="21" t="s">
        <v>28</v>
      </c>
      <c r="D47" s="21" t="s">
        <v>42</v>
      </c>
      <c r="E47" s="21" t="s">
        <v>43</v>
      </c>
      <c r="F47" s="22" t="s">
        <v>111</v>
      </c>
      <c r="G47" s="21" t="s">
        <v>31</v>
      </c>
      <c r="H47" s="21" t="s">
        <v>45</v>
      </c>
      <c r="I47" s="21" t="s">
        <v>33</v>
      </c>
    </row>
    <row r="48" spans="1:9" s="83" customFormat="1" ht="18" customHeight="1" x14ac:dyDescent="0.25">
      <c r="A48" s="82">
        <v>1</v>
      </c>
      <c r="B48" s="82">
        <v>2</v>
      </c>
      <c r="C48" s="82">
        <v>3</v>
      </c>
      <c r="D48" s="82">
        <v>4</v>
      </c>
      <c r="E48" s="82">
        <v>5</v>
      </c>
      <c r="F48" s="82">
        <v>6</v>
      </c>
      <c r="G48" s="82">
        <v>7</v>
      </c>
      <c r="H48" s="82">
        <v>8</v>
      </c>
      <c r="I48" s="82">
        <v>9</v>
      </c>
    </row>
    <row r="49" spans="1:12" s="89" customFormat="1" ht="30" customHeight="1" x14ac:dyDescent="0.25">
      <c r="A49" s="21" t="s">
        <v>46</v>
      </c>
      <c r="B49" s="84" t="s">
        <v>47</v>
      </c>
      <c r="C49" s="85"/>
      <c r="D49" s="85"/>
      <c r="E49" s="86"/>
      <c r="F49" s="85"/>
      <c r="G49" s="85"/>
      <c r="H49" s="165">
        <f>SUM(H50:H55)</f>
        <v>0</v>
      </c>
      <c r="I49" s="88"/>
    </row>
    <row r="50" spans="1:12" s="89" customFormat="1" ht="29.25" customHeight="1" x14ac:dyDescent="0.25">
      <c r="A50" s="90">
        <v>1</v>
      </c>
      <c r="B50" s="91" t="s">
        <v>90</v>
      </c>
      <c r="C50" s="64" t="s">
        <v>106</v>
      </c>
      <c r="D50" s="96" t="s">
        <v>268</v>
      </c>
      <c r="E50" s="223">
        <f>9*4.29</f>
        <v>38.61</v>
      </c>
      <c r="F50" s="93"/>
      <c r="G50" s="93"/>
      <c r="H50" s="94"/>
      <c r="I50" s="347" t="s">
        <v>110</v>
      </c>
    </row>
    <row r="51" spans="1:12" s="89" customFormat="1" ht="28.5" customHeight="1" x14ac:dyDescent="0.25">
      <c r="A51" s="90">
        <v>2</v>
      </c>
      <c r="B51" s="91" t="s">
        <v>96</v>
      </c>
      <c r="C51" s="64" t="s">
        <v>106</v>
      </c>
      <c r="D51" s="96" t="s">
        <v>269</v>
      </c>
      <c r="E51" s="92">
        <f>1*4.29</f>
        <v>4.29</v>
      </c>
      <c r="F51" s="93"/>
      <c r="G51" s="93"/>
      <c r="H51" s="94"/>
      <c r="I51" s="348"/>
    </row>
    <row r="52" spans="1:12" s="89" customFormat="1" ht="53.45" customHeight="1" x14ac:dyDescent="0.25">
      <c r="A52" s="244">
        <v>3</v>
      </c>
      <c r="B52" s="132" t="s">
        <v>270</v>
      </c>
      <c r="C52" s="64" t="s">
        <v>106</v>
      </c>
      <c r="D52" s="96" t="s">
        <v>271</v>
      </c>
      <c r="E52" s="92">
        <f>4.29*2.6</f>
        <v>11.154</v>
      </c>
      <c r="F52" s="93"/>
      <c r="G52" s="93"/>
      <c r="H52" s="94"/>
      <c r="I52" s="348"/>
    </row>
    <row r="53" spans="1:12" s="89" customFormat="1" ht="35.25" customHeight="1" x14ac:dyDescent="0.25">
      <c r="A53" s="90">
        <v>4</v>
      </c>
      <c r="B53" s="91" t="s">
        <v>399</v>
      </c>
      <c r="C53" s="64" t="s">
        <v>106</v>
      </c>
      <c r="D53" s="96"/>
      <c r="E53" s="267"/>
      <c r="F53" s="93"/>
      <c r="G53" s="93"/>
      <c r="H53" s="94"/>
      <c r="I53" s="348"/>
    </row>
    <row r="54" spans="1:12" s="89" customFormat="1" ht="36" customHeight="1" x14ac:dyDescent="0.25">
      <c r="A54" s="244"/>
      <c r="B54" s="132" t="s">
        <v>398</v>
      </c>
      <c r="C54" s="64" t="s">
        <v>106</v>
      </c>
      <c r="D54" s="96" t="s">
        <v>397</v>
      </c>
      <c r="E54" s="267">
        <f>C22-E52</f>
        <v>31.846</v>
      </c>
      <c r="F54" s="93"/>
      <c r="G54" s="93"/>
      <c r="H54" s="94"/>
      <c r="I54" s="348"/>
    </row>
    <row r="55" spans="1:12" s="89" customFormat="1" ht="29.25" customHeight="1" x14ac:dyDescent="0.25">
      <c r="A55" s="90">
        <v>5</v>
      </c>
      <c r="B55" s="132" t="s">
        <v>164</v>
      </c>
      <c r="C55" s="64" t="s">
        <v>92</v>
      </c>
      <c r="D55" s="96" t="s">
        <v>163</v>
      </c>
      <c r="E55" s="92">
        <v>13</v>
      </c>
      <c r="F55" s="93"/>
      <c r="G55" s="93"/>
      <c r="H55" s="94"/>
      <c r="I55" s="348"/>
    </row>
    <row r="56" spans="1:12" s="89" customFormat="1" ht="25.5" customHeight="1" x14ac:dyDescent="0.25">
      <c r="A56" s="21" t="s">
        <v>48</v>
      </c>
      <c r="B56" s="84" t="s">
        <v>49</v>
      </c>
      <c r="C56" s="85"/>
      <c r="D56" s="85"/>
      <c r="E56" s="92"/>
      <c r="F56" s="85"/>
      <c r="G56" s="85"/>
      <c r="H56" s="87">
        <f>SUM(H57:H57)</f>
        <v>0</v>
      </c>
      <c r="I56" s="95"/>
    </row>
    <row r="57" spans="1:12" s="89" customFormat="1" ht="24" customHeight="1" x14ac:dyDescent="0.25">
      <c r="A57" s="90"/>
      <c r="B57" s="91"/>
      <c r="C57" s="93"/>
      <c r="D57" s="90"/>
      <c r="E57" s="92"/>
      <c r="F57" s="97"/>
      <c r="G57" s="98"/>
      <c r="H57" s="97"/>
      <c r="I57" s="147"/>
    </row>
    <row r="58" spans="1:12" s="102" customFormat="1" ht="27.75" customHeight="1" x14ac:dyDescent="0.25">
      <c r="A58" s="126"/>
      <c r="B58" s="100" t="s">
        <v>50</v>
      </c>
      <c r="C58" s="100"/>
      <c r="D58" s="100"/>
      <c r="E58" s="100"/>
      <c r="F58" s="100"/>
      <c r="G58" s="100"/>
      <c r="H58" s="158">
        <f>H49+H56</f>
        <v>0</v>
      </c>
      <c r="I58" s="101"/>
    </row>
    <row r="59" spans="1:12" ht="22.5" customHeight="1" x14ac:dyDescent="0.25">
      <c r="A59" s="127">
        <v>4</v>
      </c>
      <c r="B59" s="337" t="s">
        <v>51</v>
      </c>
      <c r="C59" s="337"/>
      <c r="D59" s="337"/>
      <c r="E59" s="337"/>
      <c r="F59" s="337"/>
      <c r="G59" s="337"/>
      <c r="H59" s="51"/>
      <c r="I59" s="51"/>
    </row>
    <row r="60" spans="1:12" s="104" customFormat="1" ht="49.5" x14ac:dyDescent="0.25">
      <c r="A60" s="103" t="s">
        <v>25</v>
      </c>
      <c r="B60" s="338" t="s">
        <v>52</v>
      </c>
      <c r="C60" s="339"/>
      <c r="D60" s="21" t="s">
        <v>29</v>
      </c>
      <c r="E60" s="21" t="s">
        <v>53</v>
      </c>
      <c r="F60" s="21" t="s">
        <v>44</v>
      </c>
      <c r="G60" s="21" t="s">
        <v>54</v>
      </c>
      <c r="H60" s="21" t="s">
        <v>45</v>
      </c>
      <c r="I60" s="21" t="s">
        <v>33</v>
      </c>
    </row>
    <row r="61" spans="1:12" ht="24" customHeight="1" x14ac:dyDescent="0.25">
      <c r="A61" s="105"/>
      <c r="B61" s="340"/>
      <c r="C61" s="341"/>
      <c r="D61" s="106"/>
      <c r="E61" s="105"/>
      <c r="F61" s="107"/>
      <c r="G61" s="108"/>
      <c r="H61" s="108"/>
      <c r="I61" s="109"/>
      <c r="L61" s="110"/>
    </row>
    <row r="62" spans="1:12" s="112" customFormat="1" ht="27.75" customHeight="1" x14ac:dyDescent="0.25">
      <c r="A62" s="126"/>
      <c r="B62" s="342" t="s">
        <v>34</v>
      </c>
      <c r="C62" s="343"/>
      <c r="D62" s="100"/>
      <c r="E62" s="100"/>
      <c r="F62" s="100"/>
      <c r="G62" s="100"/>
      <c r="H62" s="163">
        <f>SUM(H61)</f>
        <v>0</v>
      </c>
      <c r="I62" s="111"/>
      <c r="L62" s="113"/>
    </row>
    <row r="63" spans="1:12" s="115" customFormat="1" ht="27.75" customHeight="1" x14ac:dyDescent="0.25">
      <c r="A63" s="128">
        <v>5</v>
      </c>
      <c r="B63" s="344" t="s">
        <v>56</v>
      </c>
      <c r="C63" s="344"/>
      <c r="D63" s="344"/>
      <c r="E63" s="344"/>
      <c r="F63" s="344"/>
      <c r="G63" s="345"/>
      <c r="H63" s="164">
        <f>H62+H58+H40+H34</f>
        <v>0</v>
      </c>
      <c r="I63" s="114" t="s">
        <v>57</v>
      </c>
    </row>
    <row r="64" spans="1:12" s="117" customFormat="1" ht="17.25" x14ac:dyDescent="0.25">
      <c r="A64" s="129"/>
      <c r="B64" s="116" t="s">
        <v>78</v>
      </c>
      <c r="C64" s="346" t="s">
        <v>91</v>
      </c>
      <c r="D64" s="346"/>
      <c r="E64" s="346"/>
      <c r="F64" s="346"/>
      <c r="G64" s="346"/>
      <c r="H64" s="346"/>
      <c r="I64" s="346"/>
    </row>
    <row r="65" spans="1:9" s="41" customFormat="1" ht="17.25" hidden="1" x14ac:dyDescent="0.3">
      <c r="A65" s="39"/>
      <c r="B65" s="118"/>
      <c r="E65" s="119"/>
      <c r="F65" s="316" t="s">
        <v>75</v>
      </c>
      <c r="G65" s="316"/>
      <c r="H65" s="316"/>
      <c r="I65" s="316"/>
    </row>
    <row r="66" spans="1:9" hidden="1" x14ac:dyDescent="0.25">
      <c r="F66" s="316" t="s">
        <v>76</v>
      </c>
      <c r="G66" s="316"/>
      <c r="H66" s="316"/>
      <c r="I66" s="316"/>
    </row>
    <row r="67" spans="1:9" hidden="1" x14ac:dyDescent="0.25">
      <c r="F67" s="317"/>
      <c r="G67" s="317"/>
      <c r="H67" s="317"/>
      <c r="I67" s="317"/>
    </row>
    <row r="68" spans="1:9" hidden="1" x14ac:dyDescent="0.25"/>
    <row r="69" spans="1:9" hidden="1" x14ac:dyDescent="0.25"/>
    <row r="70" spans="1:9" hidden="1" x14ac:dyDescent="0.25"/>
    <row r="71" spans="1:9" hidden="1" x14ac:dyDescent="0.25"/>
    <row r="72" spans="1:9" hidden="1" x14ac:dyDescent="0.25"/>
    <row r="73" spans="1:9" hidden="1" x14ac:dyDescent="0.25">
      <c r="F73" s="318" t="s">
        <v>77</v>
      </c>
      <c r="G73" s="318"/>
      <c r="H73" s="318"/>
      <c r="I73" s="318"/>
    </row>
    <row r="74" spans="1:9" ht="66.75" customHeight="1" x14ac:dyDescent="0.25">
      <c r="A74" s="319" t="s">
        <v>100</v>
      </c>
      <c r="B74" s="319"/>
      <c r="C74" s="319"/>
      <c r="D74" s="319"/>
      <c r="E74" s="319"/>
      <c r="F74" s="319"/>
      <c r="G74" s="319"/>
      <c r="H74" s="319"/>
      <c r="I74" s="319"/>
    </row>
    <row r="75" spans="1:9" x14ac:dyDescent="0.25">
      <c r="A75" s="315" t="s">
        <v>102</v>
      </c>
      <c r="B75" s="315"/>
      <c r="C75" s="315"/>
      <c r="D75" s="315"/>
      <c r="E75" s="315"/>
      <c r="F75" s="315"/>
      <c r="G75" s="315"/>
      <c r="H75" s="315"/>
      <c r="I75" s="315"/>
    </row>
    <row r="76" spans="1:9" x14ac:dyDescent="0.25">
      <c r="A76" s="320" t="s">
        <v>117</v>
      </c>
      <c r="B76" s="320"/>
      <c r="C76" s="320"/>
      <c r="D76" s="321"/>
      <c r="E76" s="322" t="s">
        <v>103</v>
      </c>
      <c r="F76" s="323"/>
      <c r="G76" s="323"/>
      <c r="H76" s="323"/>
      <c r="I76" s="323"/>
    </row>
    <row r="77" spans="1:9" x14ac:dyDescent="0.25">
      <c r="A77" s="320"/>
      <c r="B77" s="320"/>
      <c r="C77" s="320"/>
      <c r="D77" s="321"/>
      <c r="E77" s="322"/>
      <c r="F77" s="323"/>
      <c r="G77" s="323"/>
      <c r="H77" s="323"/>
      <c r="I77" s="323"/>
    </row>
    <row r="78" spans="1:9" x14ac:dyDescent="0.25">
      <c r="A78" s="320"/>
      <c r="B78" s="320"/>
      <c r="C78" s="320"/>
      <c r="D78" s="321"/>
      <c r="E78" s="38"/>
      <c r="I78" s="20"/>
    </row>
    <row r="79" spans="1:9" x14ac:dyDescent="0.25">
      <c r="A79" s="315" t="s">
        <v>101</v>
      </c>
      <c r="B79" s="315"/>
      <c r="C79" s="315"/>
      <c r="D79" s="315"/>
      <c r="E79" s="315"/>
      <c r="F79" s="315"/>
      <c r="G79" s="315"/>
      <c r="H79" s="315"/>
      <c r="I79" s="315"/>
    </row>
  </sheetData>
  <mergeCells count="59">
    <mergeCell ref="A1:D1"/>
    <mergeCell ref="E1:I1"/>
    <mergeCell ref="A2:D2"/>
    <mergeCell ref="E2:I2"/>
    <mergeCell ref="A4:D4"/>
    <mergeCell ref="E4:I4"/>
    <mergeCell ref="A5:I5"/>
    <mergeCell ref="A6:I6"/>
    <mergeCell ref="A7:I7"/>
    <mergeCell ref="B8:I8"/>
    <mergeCell ref="B9:E9"/>
    <mergeCell ref="F9:I9"/>
    <mergeCell ref="B26:F26"/>
    <mergeCell ref="C10:I10"/>
    <mergeCell ref="C11:I11"/>
    <mergeCell ref="C12:E12"/>
    <mergeCell ref="F13:I13"/>
    <mergeCell ref="C14:I14"/>
    <mergeCell ref="C15:I15"/>
    <mergeCell ref="C16:E16"/>
    <mergeCell ref="B17:I17"/>
    <mergeCell ref="D19:E19"/>
    <mergeCell ref="C24:I24"/>
    <mergeCell ref="C25:I25"/>
    <mergeCell ref="B38:C38"/>
    <mergeCell ref="B27:G27"/>
    <mergeCell ref="B28:I28"/>
    <mergeCell ref="B29:I29"/>
    <mergeCell ref="A30:A31"/>
    <mergeCell ref="B30:I30"/>
    <mergeCell ref="B31:C31"/>
    <mergeCell ref="B32:C32"/>
    <mergeCell ref="B33:C33"/>
    <mergeCell ref="B34:C34"/>
    <mergeCell ref="B36:I36"/>
    <mergeCell ref="B37:C37"/>
    <mergeCell ref="B39:C39"/>
    <mergeCell ref="B40:C40"/>
    <mergeCell ref="A42:A44"/>
    <mergeCell ref="B42:G42"/>
    <mergeCell ref="B43:G43"/>
    <mergeCell ref="B44:G44"/>
    <mergeCell ref="F73:I73"/>
    <mergeCell ref="B46:G46"/>
    <mergeCell ref="I50:I55"/>
    <mergeCell ref="B59:G59"/>
    <mergeCell ref="B60:C60"/>
    <mergeCell ref="B61:C61"/>
    <mergeCell ref="B62:C62"/>
    <mergeCell ref="B63:G63"/>
    <mergeCell ref="C64:I64"/>
    <mergeCell ref="F65:I65"/>
    <mergeCell ref="F66:I66"/>
    <mergeCell ref="F67:I67"/>
    <mergeCell ref="A74:I74"/>
    <mergeCell ref="A75:I75"/>
    <mergeCell ref="A76:D78"/>
    <mergeCell ref="E76:I77"/>
    <mergeCell ref="A79:I79"/>
  </mergeCells>
  <pageMargins left="0.11811023622047245" right="0.11811023622047245" top="0.11811023622047245" bottom="0.15748031496062992" header="0.11811023622047245" footer="0.15748031496062992"/>
  <pageSetup paperSize="9" scale="80" orientation="portrait"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85"/>
  <sheetViews>
    <sheetView topLeftCell="A28" workbookViewId="0">
      <selection activeCell="B38" sqref="B38:C38"/>
    </sheetView>
  </sheetViews>
  <sheetFormatPr defaultColWidth="9.140625" defaultRowHeight="16.5" x14ac:dyDescent="0.25"/>
  <cols>
    <col min="1" max="1" width="4.42578125" style="68" customWidth="1"/>
    <col min="2" max="2" width="27.140625" style="20" customWidth="1"/>
    <col min="3" max="3" width="8.42578125" style="20" customWidth="1"/>
    <col min="4" max="4" width="22" style="20" customWidth="1"/>
    <col min="5" max="5" width="10.7109375" style="23" customWidth="1"/>
    <col min="6" max="6" width="12.28515625" style="20" customWidth="1"/>
    <col min="7" max="7" width="9.42578125" style="20" customWidth="1"/>
    <col min="8" max="8" width="13.42578125" style="20" customWidth="1"/>
    <col min="9" max="9" width="18.140625" style="120" customWidth="1"/>
    <col min="10" max="10" width="9.140625" style="20" customWidth="1"/>
    <col min="11" max="11" width="56.42578125" style="20" customWidth="1"/>
    <col min="12" max="12" width="11.42578125" style="20" customWidth="1"/>
    <col min="13" max="19" width="9.140625" style="20" customWidth="1"/>
    <col min="20" max="16384" width="9.140625" style="20"/>
  </cols>
  <sheetData>
    <row r="1" spans="1:17" s="36" customFormat="1" x14ac:dyDescent="0.25">
      <c r="A1" s="368" t="s">
        <v>98</v>
      </c>
      <c r="B1" s="368"/>
      <c r="C1" s="368"/>
      <c r="D1" s="368"/>
      <c r="E1" s="368" t="s">
        <v>0</v>
      </c>
      <c r="F1" s="368"/>
      <c r="G1" s="368"/>
      <c r="H1" s="368"/>
      <c r="I1" s="368"/>
    </row>
    <row r="2" spans="1:17" s="36" customFormat="1" x14ac:dyDescent="0.25">
      <c r="A2" s="369" t="s">
        <v>99</v>
      </c>
      <c r="B2" s="369"/>
      <c r="C2" s="369"/>
      <c r="D2" s="369"/>
      <c r="E2" s="369" t="s">
        <v>1</v>
      </c>
      <c r="F2" s="368"/>
      <c r="G2" s="368"/>
      <c r="H2" s="368"/>
      <c r="I2" s="368"/>
    </row>
    <row r="3" spans="1:17" s="36" customFormat="1" ht="15.75" customHeight="1" x14ac:dyDescent="0.25">
      <c r="A3" s="39"/>
      <c r="C3" s="39"/>
      <c r="D3" s="39"/>
      <c r="E3" s="39"/>
      <c r="F3" s="39"/>
      <c r="G3" s="39"/>
      <c r="H3" s="39"/>
      <c r="I3" s="37"/>
    </row>
    <row r="4" spans="1:17" s="36" customFormat="1" x14ac:dyDescent="0.25">
      <c r="A4" s="369" t="s">
        <v>89</v>
      </c>
      <c r="B4" s="369"/>
      <c r="C4" s="369"/>
      <c r="D4" s="369"/>
      <c r="E4" s="370" t="s">
        <v>185</v>
      </c>
      <c r="F4" s="370"/>
      <c r="G4" s="370"/>
      <c r="H4" s="370"/>
      <c r="I4" s="370"/>
    </row>
    <row r="5" spans="1:17" s="40" customFormat="1" ht="25.5" customHeight="1" x14ac:dyDescent="0.25">
      <c r="A5" s="371" t="s">
        <v>85</v>
      </c>
      <c r="B5" s="371"/>
      <c r="C5" s="371"/>
      <c r="D5" s="371"/>
      <c r="E5" s="371"/>
      <c r="F5" s="371"/>
      <c r="G5" s="371"/>
      <c r="H5" s="371"/>
      <c r="I5" s="371"/>
    </row>
    <row r="6" spans="1:17" s="40" customFormat="1" ht="42" customHeight="1" x14ac:dyDescent="0.25">
      <c r="A6" s="372" t="s">
        <v>86</v>
      </c>
      <c r="B6" s="372"/>
      <c r="C6" s="372"/>
      <c r="D6" s="372"/>
      <c r="E6" s="372"/>
      <c r="F6" s="372"/>
      <c r="G6" s="372"/>
      <c r="H6" s="372"/>
      <c r="I6" s="372"/>
      <c r="Q6" s="41"/>
    </row>
    <row r="7" spans="1:17" s="40" customFormat="1" ht="20.25" customHeight="1" x14ac:dyDescent="0.25">
      <c r="A7" s="373" t="s">
        <v>166</v>
      </c>
      <c r="B7" s="373"/>
      <c r="C7" s="373"/>
      <c r="D7" s="373"/>
      <c r="E7" s="373"/>
      <c r="F7" s="373"/>
      <c r="G7" s="373"/>
      <c r="H7" s="373"/>
      <c r="I7" s="373"/>
    </row>
    <row r="8" spans="1:17" s="42" customFormat="1" ht="19.899999999999999" customHeight="1" x14ac:dyDescent="0.25">
      <c r="A8" s="121" t="s">
        <v>2</v>
      </c>
      <c r="B8" s="362" t="s">
        <v>3</v>
      </c>
      <c r="C8" s="362"/>
      <c r="D8" s="362"/>
      <c r="E8" s="362"/>
      <c r="F8" s="362"/>
      <c r="G8" s="362"/>
      <c r="H8" s="362"/>
      <c r="I8" s="362"/>
    </row>
    <row r="9" spans="1:17" s="42" customFormat="1" ht="19.899999999999999" customHeight="1" x14ac:dyDescent="0.25">
      <c r="A9" s="121" t="s">
        <v>4</v>
      </c>
      <c r="B9" s="374" t="s">
        <v>5</v>
      </c>
      <c r="C9" s="374"/>
      <c r="D9" s="374"/>
      <c r="E9" s="374"/>
      <c r="F9" s="365" t="s">
        <v>272</v>
      </c>
      <c r="G9" s="365"/>
      <c r="H9" s="365"/>
      <c r="I9" s="365"/>
    </row>
    <row r="10" spans="1:17" s="42" customFormat="1" ht="19.899999999999999" customHeight="1" x14ac:dyDescent="0.25">
      <c r="A10" s="122"/>
      <c r="B10" s="24" t="s">
        <v>6</v>
      </c>
      <c r="C10" s="365" t="s">
        <v>146</v>
      </c>
      <c r="D10" s="365"/>
      <c r="E10" s="365"/>
      <c r="F10" s="365"/>
      <c r="G10" s="365"/>
      <c r="H10" s="365"/>
      <c r="I10" s="365"/>
    </row>
    <row r="11" spans="1:17" s="42" customFormat="1" ht="19.899999999999999" customHeight="1" x14ac:dyDescent="0.25">
      <c r="A11" s="122"/>
      <c r="B11" s="24" t="s">
        <v>7</v>
      </c>
      <c r="C11" s="365" t="s">
        <v>146</v>
      </c>
      <c r="D11" s="365"/>
      <c r="E11" s="365"/>
      <c r="F11" s="365"/>
      <c r="G11" s="365"/>
      <c r="H11" s="365"/>
      <c r="I11" s="365"/>
    </row>
    <row r="12" spans="1:17" s="42" customFormat="1" ht="19.899999999999999" customHeight="1" x14ac:dyDescent="0.25">
      <c r="A12" s="122"/>
      <c r="B12" s="24" t="s">
        <v>11</v>
      </c>
      <c r="C12" s="361" t="s">
        <v>273</v>
      </c>
      <c r="D12" s="361"/>
      <c r="E12" s="361"/>
      <c r="F12" s="43"/>
      <c r="G12" s="43"/>
      <c r="H12" s="43"/>
      <c r="I12" s="43"/>
    </row>
    <row r="13" spans="1:17" s="42" customFormat="1" ht="19.899999999999999" customHeight="1" x14ac:dyDescent="0.25">
      <c r="A13" s="121" t="s">
        <v>9</v>
      </c>
      <c r="B13" s="44" t="s">
        <v>10</v>
      </c>
      <c r="E13" s="43"/>
      <c r="F13" s="362" t="str">
        <f>F9</f>
        <v>Trịnh Quang Lê -  Đỗ Thị Nguyệt</v>
      </c>
      <c r="G13" s="362"/>
      <c r="H13" s="362"/>
      <c r="I13" s="362"/>
      <c r="J13" s="143"/>
    </row>
    <row r="14" spans="1:17" s="42" customFormat="1" ht="19.899999999999999" customHeight="1" x14ac:dyDescent="0.25">
      <c r="A14" s="122"/>
      <c r="B14" s="24" t="s">
        <v>6</v>
      </c>
      <c r="C14" s="365" t="str">
        <f>+C10</f>
        <v>Thôn Phố Gốt - xã Phú Nghĩa - TP Hà Nội</v>
      </c>
      <c r="D14" s="365"/>
      <c r="E14" s="365"/>
      <c r="F14" s="365"/>
      <c r="G14" s="365"/>
      <c r="H14" s="365"/>
      <c r="I14" s="365"/>
    </row>
    <row r="15" spans="1:17" s="42" customFormat="1" ht="19.899999999999999" customHeight="1" x14ac:dyDescent="0.25">
      <c r="A15" s="122"/>
      <c r="B15" s="24" t="s">
        <v>7</v>
      </c>
      <c r="C15" s="365" t="str">
        <f>C11</f>
        <v>Thôn Phố Gốt - xã Phú Nghĩa - TP Hà Nội</v>
      </c>
      <c r="D15" s="365"/>
      <c r="E15" s="365"/>
      <c r="F15" s="365"/>
      <c r="G15" s="365"/>
      <c r="H15" s="365"/>
      <c r="I15" s="365"/>
    </row>
    <row r="16" spans="1:17" s="42" customFormat="1" ht="19.899999999999999" customHeight="1" x14ac:dyDescent="0.25">
      <c r="A16" s="122"/>
      <c r="B16" s="24" t="s">
        <v>11</v>
      </c>
      <c r="C16" s="361" t="str">
        <f>+C12</f>
        <v>0380700144311 - 001175042864</v>
      </c>
      <c r="D16" s="361"/>
      <c r="E16" s="361"/>
      <c r="F16" s="43"/>
      <c r="G16" s="43"/>
      <c r="H16" s="43"/>
      <c r="I16" s="43"/>
    </row>
    <row r="17" spans="1:19" s="42" customFormat="1" ht="19.899999999999999" customHeight="1" x14ac:dyDescent="0.25">
      <c r="A17" s="121" t="s">
        <v>12</v>
      </c>
      <c r="B17" s="362" t="s">
        <v>13</v>
      </c>
      <c r="C17" s="362"/>
      <c r="D17" s="362"/>
      <c r="E17" s="362"/>
      <c r="F17" s="362"/>
      <c r="G17" s="362"/>
      <c r="H17" s="362"/>
      <c r="I17" s="362"/>
    </row>
    <row r="18" spans="1:19" s="42" customFormat="1" ht="19.899999999999999" customHeight="1" x14ac:dyDescent="0.25">
      <c r="A18" s="121" t="s">
        <v>4</v>
      </c>
      <c r="B18" s="46" t="s">
        <v>14</v>
      </c>
      <c r="E18" s="43"/>
    </row>
    <row r="19" spans="1:19" s="51" customFormat="1" ht="19.899999999999999" customHeight="1" x14ac:dyDescent="0.25">
      <c r="A19" s="123"/>
      <c r="B19" s="47" t="s">
        <v>15</v>
      </c>
      <c r="C19" s="144">
        <v>56</v>
      </c>
      <c r="D19" s="363" t="s">
        <v>16</v>
      </c>
      <c r="E19" s="363"/>
      <c r="F19" s="49" t="s">
        <v>128</v>
      </c>
      <c r="G19" s="50"/>
      <c r="I19" s="50"/>
    </row>
    <row r="20" spans="1:19" s="51" customFormat="1" ht="19.899999999999999" customHeight="1" x14ac:dyDescent="0.25">
      <c r="A20" s="123"/>
      <c r="B20" s="47" t="s">
        <v>17</v>
      </c>
      <c r="C20" s="52">
        <v>50.1</v>
      </c>
      <c r="D20" s="50" t="s">
        <v>105</v>
      </c>
      <c r="E20" s="53"/>
      <c r="F20" s="54"/>
      <c r="H20" s="55"/>
      <c r="I20" s="50"/>
    </row>
    <row r="21" spans="1:19" s="51" customFormat="1" ht="19.899999999999999" customHeight="1" x14ac:dyDescent="0.25">
      <c r="A21" s="123"/>
      <c r="B21" s="56" t="s">
        <v>18</v>
      </c>
      <c r="C21" s="57"/>
      <c r="D21" s="50"/>
      <c r="E21" s="53"/>
      <c r="F21" s="50"/>
      <c r="H21" s="55"/>
      <c r="I21" s="50"/>
    </row>
    <row r="22" spans="1:19" s="51" customFormat="1" ht="19.899999999999999" customHeight="1" x14ac:dyDescent="0.25">
      <c r="A22" s="123"/>
      <c r="B22" s="47" t="s">
        <v>19</v>
      </c>
      <c r="C22" s="52">
        <v>42.6</v>
      </c>
      <c r="D22" s="50" t="s">
        <v>105</v>
      </c>
      <c r="E22" s="53"/>
      <c r="F22" s="50"/>
      <c r="H22" s="55"/>
      <c r="I22" s="50"/>
    </row>
    <row r="23" spans="1:19" s="51" customFormat="1" ht="19.899999999999999" customHeight="1" x14ac:dyDescent="0.25">
      <c r="A23" s="123"/>
      <c r="B23" s="47" t="s">
        <v>20</v>
      </c>
      <c r="C23" s="57">
        <f>C20-C22</f>
        <v>7.5</v>
      </c>
      <c r="D23" s="50" t="s">
        <v>105</v>
      </c>
      <c r="E23" s="53"/>
      <c r="F23" s="50"/>
      <c r="H23" s="55"/>
      <c r="I23" s="50"/>
    </row>
    <row r="24" spans="1:19" s="42" customFormat="1" ht="21" customHeight="1" x14ac:dyDescent="0.25">
      <c r="A24" s="122"/>
      <c r="B24" s="24" t="s">
        <v>21</v>
      </c>
      <c r="C24" s="362" t="s">
        <v>251</v>
      </c>
      <c r="D24" s="362"/>
      <c r="E24" s="362"/>
      <c r="F24" s="362"/>
      <c r="G24" s="362"/>
      <c r="H24" s="362"/>
      <c r="I24" s="362"/>
    </row>
    <row r="25" spans="1:19" s="36" customFormat="1" ht="200.25" customHeight="1" x14ac:dyDescent="0.25">
      <c r="A25" s="368" t="s">
        <v>9</v>
      </c>
      <c r="B25" s="371" t="s">
        <v>73</v>
      </c>
      <c r="C25" s="366" t="s">
        <v>574</v>
      </c>
      <c r="D25" s="366"/>
      <c r="E25" s="366"/>
      <c r="F25" s="366"/>
      <c r="G25" s="366"/>
      <c r="H25" s="366"/>
      <c r="I25" s="366"/>
      <c r="J25" s="133"/>
      <c r="K25" s="133"/>
      <c r="L25" s="59"/>
      <c r="M25" s="59"/>
      <c r="N25" s="59"/>
      <c r="O25" s="59"/>
      <c r="P25" s="59"/>
      <c r="Q25" s="59"/>
      <c r="R25" s="59"/>
      <c r="S25" s="59"/>
    </row>
    <row r="26" spans="1:19" s="36" customFormat="1" ht="60.6" customHeight="1" x14ac:dyDescent="0.25">
      <c r="A26" s="368"/>
      <c r="B26" s="371"/>
      <c r="C26" s="366"/>
      <c r="D26" s="366"/>
      <c r="E26" s="366"/>
      <c r="F26" s="366"/>
      <c r="G26" s="366"/>
      <c r="H26" s="366"/>
      <c r="I26" s="366"/>
      <c r="J26" s="133"/>
      <c r="K26" s="133"/>
      <c r="L26" s="59"/>
      <c r="M26" s="59"/>
      <c r="N26" s="59"/>
      <c r="O26" s="59"/>
      <c r="P26" s="59"/>
      <c r="Q26" s="59"/>
      <c r="R26" s="59"/>
      <c r="S26" s="59"/>
    </row>
    <row r="27" spans="1:19" s="36" customFormat="1" ht="19.899999999999999" customHeight="1" x14ac:dyDescent="0.25">
      <c r="A27" s="39" t="s">
        <v>22</v>
      </c>
      <c r="B27" s="364" t="s">
        <v>82</v>
      </c>
      <c r="C27" s="364"/>
      <c r="D27" s="364"/>
      <c r="E27" s="364"/>
      <c r="F27" s="364"/>
      <c r="G27" s="60"/>
      <c r="H27" s="149" t="s">
        <v>112</v>
      </c>
      <c r="I27" s="60" t="s">
        <v>55</v>
      </c>
      <c r="J27" s="142"/>
      <c r="K27" s="142"/>
      <c r="L27" s="59"/>
      <c r="M27" s="59"/>
      <c r="N27" s="59"/>
      <c r="O27" s="59"/>
      <c r="P27" s="59"/>
      <c r="Q27" s="59"/>
      <c r="R27" s="59"/>
      <c r="S27" s="59"/>
    </row>
    <row r="28" spans="1:19" s="36" customFormat="1" ht="19.899999999999999" customHeight="1" x14ac:dyDescent="0.25">
      <c r="A28" s="39" t="s">
        <v>23</v>
      </c>
      <c r="B28" s="364" t="s">
        <v>65</v>
      </c>
      <c r="C28" s="364"/>
      <c r="D28" s="364"/>
      <c r="E28" s="364"/>
      <c r="F28" s="364"/>
      <c r="G28" s="364"/>
      <c r="H28" s="148" t="s">
        <v>119</v>
      </c>
      <c r="I28" s="60" t="s">
        <v>84</v>
      </c>
      <c r="J28" s="59"/>
      <c r="K28" s="59"/>
      <c r="L28" s="59"/>
      <c r="M28" s="59"/>
      <c r="N28" s="59"/>
      <c r="O28" s="59"/>
      <c r="P28" s="59"/>
      <c r="Q28" s="59"/>
      <c r="R28" s="59"/>
      <c r="S28" s="59"/>
    </row>
    <row r="29" spans="1:19" s="41" customFormat="1" x14ac:dyDescent="0.25">
      <c r="A29" s="39" t="s">
        <v>88</v>
      </c>
      <c r="B29" s="364" t="s">
        <v>87</v>
      </c>
      <c r="C29" s="364"/>
      <c r="D29" s="364"/>
      <c r="E29" s="364"/>
      <c r="F29" s="364"/>
      <c r="G29" s="364"/>
      <c r="H29" s="364"/>
      <c r="I29" s="364"/>
    </row>
    <row r="30" spans="1:19" s="40" customFormat="1" ht="21.75" customHeight="1" x14ac:dyDescent="0.25">
      <c r="A30" s="39" t="s">
        <v>4</v>
      </c>
      <c r="B30" s="360" t="s">
        <v>24</v>
      </c>
      <c r="C30" s="360"/>
      <c r="D30" s="360"/>
      <c r="E30" s="360"/>
      <c r="F30" s="360"/>
      <c r="G30" s="360"/>
      <c r="H30" s="360"/>
      <c r="I30" s="360"/>
      <c r="J30" s="41"/>
      <c r="K30" s="41"/>
      <c r="L30" s="41"/>
      <c r="M30" s="41"/>
      <c r="N30" s="41"/>
      <c r="O30" s="41"/>
      <c r="P30" s="41"/>
      <c r="Q30" s="41"/>
      <c r="R30" s="41"/>
      <c r="S30" s="41"/>
    </row>
    <row r="31" spans="1:19" s="24" customFormat="1" ht="32.25" customHeight="1" x14ac:dyDescent="0.25">
      <c r="A31" s="351" t="s">
        <v>25</v>
      </c>
      <c r="B31" s="353" t="s">
        <v>26</v>
      </c>
      <c r="C31" s="354"/>
      <c r="D31" s="354"/>
      <c r="E31" s="354"/>
      <c r="F31" s="354"/>
      <c r="G31" s="354"/>
      <c r="H31" s="354"/>
      <c r="I31" s="355"/>
    </row>
    <row r="32" spans="1:19" s="25" customFormat="1" ht="49.5" x14ac:dyDescent="0.25">
      <c r="A32" s="352"/>
      <c r="B32" s="353" t="s">
        <v>27</v>
      </c>
      <c r="C32" s="355"/>
      <c r="D32" s="21" t="s">
        <v>28</v>
      </c>
      <c r="E32" s="22" t="s">
        <v>29</v>
      </c>
      <c r="F32" s="22" t="s">
        <v>30</v>
      </c>
      <c r="G32" s="21" t="s">
        <v>31</v>
      </c>
      <c r="H32" s="22" t="s">
        <v>104</v>
      </c>
      <c r="I32" s="22" t="s">
        <v>33</v>
      </c>
    </row>
    <row r="33" spans="1:9" s="62" customFormat="1" ht="18.75" customHeight="1" x14ac:dyDescent="0.25">
      <c r="A33" s="61">
        <v>1</v>
      </c>
      <c r="B33" s="356">
        <v>2</v>
      </c>
      <c r="C33" s="357"/>
      <c r="D33" s="61">
        <v>3</v>
      </c>
      <c r="E33" s="61">
        <v>4</v>
      </c>
      <c r="F33" s="61">
        <v>5</v>
      </c>
      <c r="G33" s="61">
        <v>6</v>
      </c>
      <c r="H33" s="61">
        <v>7</v>
      </c>
      <c r="I33" s="61">
        <v>8</v>
      </c>
    </row>
    <row r="34" spans="1:9" s="68" customFormat="1" ht="39" customHeight="1" x14ac:dyDescent="0.25">
      <c r="A34" s="63">
        <v>1</v>
      </c>
      <c r="B34" s="358" t="s">
        <v>563</v>
      </c>
      <c r="C34" s="359"/>
      <c r="D34" s="64" t="s">
        <v>106</v>
      </c>
      <c r="E34" s="65">
        <f>C22</f>
        <v>42.6</v>
      </c>
      <c r="F34" s="63"/>
      <c r="G34" s="66"/>
      <c r="H34" s="63">
        <f>E34*F34*G34</f>
        <v>0</v>
      </c>
      <c r="I34" s="67"/>
    </row>
    <row r="35" spans="1:9" s="71" customFormat="1" ht="30.75" customHeight="1" x14ac:dyDescent="0.25">
      <c r="A35" s="69"/>
      <c r="B35" s="349" t="s">
        <v>34</v>
      </c>
      <c r="C35" s="350"/>
      <c r="D35" s="69"/>
      <c r="E35" s="69"/>
      <c r="F35" s="69"/>
      <c r="G35" s="69"/>
      <c r="H35" s="70">
        <f>SUM(H34:H34)</f>
        <v>0</v>
      </c>
      <c r="I35" s="69"/>
    </row>
    <row r="36" spans="1:9" ht="12.75" customHeight="1" x14ac:dyDescent="0.25">
      <c r="A36" s="77"/>
      <c r="B36" s="72"/>
      <c r="C36" s="72"/>
      <c r="D36" s="73"/>
      <c r="E36" s="73"/>
      <c r="F36" s="73"/>
      <c r="G36" s="73"/>
      <c r="H36" s="73"/>
      <c r="I36" s="73"/>
    </row>
    <row r="37" spans="1:9" ht="16.5" customHeight="1" x14ac:dyDescent="0.25">
      <c r="A37" s="75" t="s">
        <v>9</v>
      </c>
      <c r="B37" s="360" t="s">
        <v>35</v>
      </c>
      <c r="C37" s="360"/>
      <c r="D37" s="360"/>
      <c r="E37" s="360"/>
      <c r="F37" s="360"/>
      <c r="G37" s="360"/>
      <c r="H37" s="360"/>
      <c r="I37" s="360"/>
    </row>
    <row r="38" spans="1:9" s="23" customFormat="1" ht="49.5" x14ac:dyDescent="0.25">
      <c r="A38" s="29" t="s">
        <v>25</v>
      </c>
      <c r="B38" s="353" t="s">
        <v>27</v>
      </c>
      <c r="C38" s="355"/>
      <c r="D38" s="21" t="s">
        <v>28</v>
      </c>
      <c r="E38" s="22" t="s">
        <v>29</v>
      </c>
      <c r="F38" s="22" t="s">
        <v>30</v>
      </c>
      <c r="G38" s="21" t="s">
        <v>31</v>
      </c>
      <c r="H38" s="22" t="s">
        <v>32</v>
      </c>
      <c r="I38" s="22" t="s">
        <v>33</v>
      </c>
    </row>
    <row r="39" spans="1:9" s="62" customFormat="1" ht="18" customHeight="1" x14ac:dyDescent="0.25">
      <c r="A39" s="61">
        <v>1</v>
      </c>
      <c r="B39" s="356">
        <v>2</v>
      </c>
      <c r="C39" s="357"/>
      <c r="D39" s="61">
        <v>3</v>
      </c>
      <c r="E39" s="61">
        <v>4</v>
      </c>
      <c r="F39" s="61">
        <v>5</v>
      </c>
      <c r="G39" s="61">
        <v>6</v>
      </c>
      <c r="H39" s="61">
        <v>7</v>
      </c>
      <c r="I39" s="61">
        <v>8</v>
      </c>
    </row>
    <row r="40" spans="1:9" ht="33.75" customHeight="1" x14ac:dyDescent="0.25">
      <c r="A40" s="26">
        <v>1</v>
      </c>
      <c r="B40" s="353"/>
      <c r="C40" s="355"/>
      <c r="D40" s="27"/>
      <c r="E40" s="22"/>
      <c r="F40" s="27"/>
      <c r="G40" s="27"/>
      <c r="H40" s="27"/>
      <c r="I40" s="26" t="s">
        <v>36</v>
      </c>
    </row>
    <row r="41" spans="1:9" s="71" customFormat="1" ht="25.5" customHeight="1" x14ac:dyDescent="0.25">
      <c r="A41" s="69"/>
      <c r="B41" s="349" t="s">
        <v>34</v>
      </c>
      <c r="C41" s="350"/>
      <c r="D41" s="74"/>
      <c r="E41" s="69"/>
      <c r="F41" s="74"/>
      <c r="G41" s="74"/>
      <c r="H41" s="74"/>
      <c r="I41" s="69"/>
    </row>
    <row r="42" spans="1:9" x14ac:dyDescent="0.25">
      <c r="A42" s="124"/>
      <c r="B42" s="75"/>
      <c r="C42" s="75"/>
      <c r="D42" s="76"/>
      <c r="E42" s="75"/>
      <c r="F42" s="76"/>
      <c r="G42" s="76"/>
      <c r="H42" s="76"/>
      <c r="I42" s="75"/>
    </row>
    <row r="43" spans="1:9" x14ac:dyDescent="0.25">
      <c r="A43" s="324"/>
      <c r="B43" s="327" t="s">
        <v>37</v>
      </c>
      <c r="C43" s="328"/>
      <c r="D43" s="328"/>
      <c r="E43" s="328"/>
      <c r="F43" s="328"/>
      <c r="G43" s="329"/>
      <c r="H43" s="27"/>
      <c r="I43" s="26" t="s">
        <v>74</v>
      </c>
    </row>
    <row r="44" spans="1:9" x14ac:dyDescent="0.25">
      <c r="A44" s="325"/>
      <c r="B44" s="330" t="s">
        <v>38</v>
      </c>
      <c r="C44" s="331"/>
      <c r="D44" s="331"/>
      <c r="E44" s="331"/>
      <c r="F44" s="331"/>
      <c r="G44" s="332"/>
      <c r="H44" s="27"/>
      <c r="I44" s="26" t="s">
        <v>74</v>
      </c>
    </row>
    <row r="45" spans="1:9" x14ac:dyDescent="0.25">
      <c r="A45" s="326"/>
      <c r="B45" s="333" t="s">
        <v>39</v>
      </c>
      <c r="C45" s="334"/>
      <c r="D45" s="334"/>
      <c r="E45" s="334"/>
      <c r="F45" s="334"/>
      <c r="G45" s="335"/>
      <c r="H45" s="27"/>
      <c r="I45" s="26" t="s">
        <v>74</v>
      </c>
    </row>
    <row r="46" spans="1:9" ht="8.25" customHeight="1" x14ac:dyDescent="0.25">
      <c r="A46" s="77"/>
      <c r="B46" s="72"/>
      <c r="C46" s="72"/>
      <c r="D46" s="72"/>
      <c r="E46" s="78"/>
      <c r="F46" s="72"/>
      <c r="G46" s="72"/>
      <c r="H46" s="79"/>
      <c r="I46" s="79"/>
    </row>
    <row r="47" spans="1:9" ht="20.25" customHeight="1" x14ac:dyDescent="0.25">
      <c r="A47" s="125" t="s">
        <v>22</v>
      </c>
      <c r="B47" s="376" t="s">
        <v>40</v>
      </c>
      <c r="C47" s="376"/>
      <c r="D47" s="376"/>
      <c r="E47" s="376"/>
      <c r="F47" s="376"/>
      <c r="G47" s="376"/>
      <c r="H47" s="80"/>
      <c r="I47" s="81"/>
    </row>
    <row r="48" spans="1:9" s="30" customFormat="1" ht="49.5" x14ac:dyDescent="0.25">
      <c r="A48" s="21" t="s">
        <v>25</v>
      </c>
      <c r="B48" s="21" t="s">
        <v>41</v>
      </c>
      <c r="C48" s="21" t="s">
        <v>28</v>
      </c>
      <c r="D48" s="21" t="s">
        <v>42</v>
      </c>
      <c r="E48" s="21" t="s">
        <v>43</v>
      </c>
      <c r="F48" s="22" t="s">
        <v>111</v>
      </c>
      <c r="G48" s="21" t="s">
        <v>31</v>
      </c>
      <c r="H48" s="21" t="s">
        <v>45</v>
      </c>
      <c r="I48" s="21" t="s">
        <v>33</v>
      </c>
    </row>
    <row r="49" spans="1:9" s="83" customFormat="1" ht="18" customHeight="1" x14ac:dyDescent="0.25">
      <c r="A49" s="82">
        <v>1</v>
      </c>
      <c r="B49" s="82">
        <v>2</v>
      </c>
      <c r="C49" s="82">
        <v>3</v>
      </c>
      <c r="D49" s="82">
        <v>4</v>
      </c>
      <c r="E49" s="82">
        <v>5</v>
      </c>
      <c r="F49" s="82">
        <v>6</v>
      </c>
      <c r="G49" s="82">
        <v>7</v>
      </c>
      <c r="H49" s="82">
        <v>8</v>
      </c>
      <c r="I49" s="82">
        <v>9</v>
      </c>
    </row>
    <row r="50" spans="1:9" s="89" customFormat="1" ht="30" customHeight="1" x14ac:dyDescent="0.25">
      <c r="A50" s="21" t="s">
        <v>46</v>
      </c>
      <c r="B50" s="84" t="s">
        <v>47</v>
      </c>
      <c r="C50" s="85"/>
      <c r="D50" s="85"/>
      <c r="E50" s="86"/>
      <c r="F50" s="85"/>
      <c r="G50" s="85"/>
      <c r="H50" s="165">
        <f>SUM(H51:H61)</f>
        <v>0</v>
      </c>
      <c r="I50" s="88"/>
    </row>
    <row r="51" spans="1:9" s="89" customFormat="1" ht="28.5" customHeight="1" x14ac:dyDescent="0.25">
      <c r="A51" s="90">
        <v>1</v>
      </c>
      <c r="B51" s="91" t="s">
        <v>90</v>
      </c>
      <c r="C51" s="64" t="s">
        <v>106</v>
      </c>
      <c r="D51" s="96"/>
      <c r="E51" s="223">
        <v>47</v>
      </c>
      <c r="F51" s="93"/>
      <c r="G51" s="93"/>
      <c r="H51" s="94"/>
      <c r="I51" s="347" t="s">
        <v>110</v>
      </c>
    </row>
    <row r="52" spans="1:9" s="89" customFormat="1" ht="29.45" customHeight="1" x14ac:dyDescent="0.25">
      <c r="A52" s="90">
        <v>2</v>
      </c>
      <c r="B52" s="91" t="s">
        <v>151</v>
      </c>
      <c r="C52" s="64" t="s">
        <v>106</v>
      </c>
      <c r="D52" s="96" t="s">
        <v>274</v>
      </c>
      <c r="E52" s="96">
        <f>1.5*4.28</f>
        <v>6.42</v>
      </c>
      <c r="F52" s="93"/>
      <c r="G52" s="93"/>
      <c r="H52" s="94"/>
      <c r="I52" s="348"/>
    </row>
    <row r="53" spans="1:9" s="89" customFormat="1" ht="72.599999999999994" customHeight="1" x14ac:dyDescent="0.25">
      <c r="A53" s="90">
        <v>3</v>
      </c>
      <c r="B53" s="132" t="s">
        <v>275</v>
      </c>
      <c r="C53" s="64" t="s">
        <v>106</v>
      </c>
      <c r="D53" s="96" t="s">
        <v>276</v>
      </c>
      <c r="E53" s="235">
        <f>4.28*1.45</f>
        <v>6.2060000000000004</v>
      </c>
      <c r="F53" s="93"/>
      <c r="G53" s="93"/>
      <c r="H53" s="94"/>
      <c r="I53" s="348"/>
    </row>
    <row r="54" spans="1:9" s="89" customFormat="1" ht="72" customHeight="1" x14ac:dyDescent="0.25">
      <c r="A54" s="90">
        <v>4</v>
      </c>
      <c r="B54" s="132" t="s">
        <v>403</v>
      </c>
      <c r="C54" s="64" t="s">
        <v>106</v>
      </c>
      <c r="D54" s="96" t="s">
        <v>277</v>
      </c>
      <c r="E54" s="235">
        <f>7.15*4.28</f>
        <v>30.602000000000004</v>
      </c>
      <c r="F54" s="93"/>
      <c r="G54" s="93"/>
      <c r="H54" s="94"/>
      <c r="I54" s="348"/>
    </row>
    <row r="55" spans="1:9" s="89" customFormat="1" ht="43.5" customHeight="1" x14ac:dyDescent="0.25">
      <c r="A55" s="90"/>
      <c r="B55" s="132" t="s">
        <v>401</v>
      </c>
      <c r="C55" s="64" t="s">
        <v>106</v>
      </c>
      <c r="D55" s="96" t="s">
        <v>400</v>
      </c>
      <c r="E55" s="235">
        <f>E54</f>
        <v>30.602000000000004</v>
      </c>
      <c r="F55" s="93"/>
      <c r="G55" s="93"/>
      <c r="H55" s="94"/>
      <c r="I55" s="348"/>
    </row>
    <row r="56" spans="1:9" s="89" customFormat="1" ht="34.5" customHeight="1" x14ac:dyDescent="0.25">
      <c r="A56" s="90"/>
      <c r="B56" s="132" t="s">
        <v>402</v>
      </c>
      <c r="C56" s="64" t="s">
        <v>106</v>
      </c>
      <c r="D56" s="96" t="s">
        <v>404</v>
      </c>
      <c r="E56" s="235">
        <f>E55</f>
        <v>30.602000000000004</v>
      </c>
      <c r="F56" s="93"/>
      <c r="G56" s="93"/>
      <c r="H56" s="94"/>
      <c r="I56" s="348"/>
    </row>
    <row r="57" spans="1:9" s="89" customFormat="1" ht="58.15" customHeight="1" x14ac:dyDescent="0.25">
      <c r="A57" s="90">
        <v>5</v>
      </c>
      <c r="B57" s="132" t="s">
        <v>278</v>
      </c>
      <c r="C57" s="64" t="s">
        <v>106</v>
      </c>
      <c r="D57" s="96" t="s">
        <v>279</v>
      </c>
      <c r="E57" s="92">
        <v>6.27</v>
      </c>
      <c r="F57" s="93"/>
      <c r="G57" s="93"/>
      <c r="H57" s="94"/>
      <c r="I57" s="348"/>
    </row>
    <row r="58" spans="1:9" s="89" customFormat="1" ht="34.5" customHeight="1" x14ac:dyDescent="0.25">
      <c r="A58" s="90"/>
      <c r="B58" s="132" t="s">
        <v>109</v>
      </c>
      <c r="C58" s="64" t="s">
        <v>106</v>
      </c>
      <c r="D58" s="96" t="s">
        <v>280</v>
      </c>
      <c r="E58" s="92">
        <f>1.2*2.1</f>
        <v>2.52</v>
      </c>
      <c r="F58" s="93"/>
      <c r="G58" s="93"/>
      <c r="H58" s="94"/>
      <c r="I58" s="348"/>
    </row>
    <row r="59" spans="1:9" s="89" customFormat="1" ht="34.5" customHeight="1" x14ac:dyDescent="0.25">
      <c r="A59" s="90"/>
      <c r="B59" s="132" t="s">
        <v>120</v>
      </c>
      <c r="C59" s="64" t="s">
        <v>106</v>
      </c>
      <c r="D59" s="96" t="s">
        <v>405</v>
      </c>
      <c r="E59" s="92">
        <f>E57-E58</f>
        <v>3.7499999999999996</v>
      </c>
      <c r="F59" s="93"/>
      <c r="G59" s="93"/>
      <c r="H59" s="94"/>
      <c r="I59" s="348"/>
    </row>
    <row r="60" spans="1:9" s="89" customFormat="1" ht="32.450000000000003" customHeight="1" x14ac:dyDescent="0.25">
      <c r="A60" s="90">
        <v>6</v>
      </c>
      <c r="B60" s="132" t="s">
        <v>231</v>
      </c>
      <c r="C60" s="64" t="s">
        <v>106</v>
      </c>
      <c r="D60" s="96" t="s">
        <v>281</v>
      </c>
      <c r="E60" s="92">
        <f>((1.26+1.2) * 4.28)/2</f>
        <v>5.2644000000000002</v>
      </c>
      <c r="F60" s="93"/>
      <c r="G60" s="93"/>
      <c r="H60" s="94"/>
      <c r="I60" s="348"/>
    </row>
    <row r="61" spans="1:9" s="89" customFormat="1" ht="29.25" customHeight="1" x14ac:dyDescent="0.25">
      <c r="A61" s="90">
        <v>7</v>
      </c>
      <c r="B61" s="91" t="s">
        <v>282</v>
      </c>
      <c r="C61" s="64" t="s">
        <v>92</v>
      </c>
      <c r="D61" s="96" t="s">
        <v>163</v>
      </c>
      <c r="E61" s="92">
        <v>11</v>
      </c>
      <c r="F61" s="93"/>
      <c r="G61" s="93"/>
      <c r="H61" s="94"/>
      <c r="I61" s="348"/>
    </row>
    <row r="62" spans="1:9" s="89" customFormat="1" ht="27" customHeight="1" x14ac:dyDescent="0.25">
      <c r="A62" s="21" t="s">
        <v>48</v>
      </c>
      <c r="B62" s="84" t="s">
        <v>49</v>
      </c>
      <c r="C62" s="85"/>
      <c r="D62" s="85"/>
      <c r="E62" s="92"/>
      <c r="F62" s="85"/>
      <c r="G62" s="85"/>
      <c r="H62" s="157">
        <f>SUM(H63:H63)</f>
        <v>0</v>
      </c>
      <c r="I62" s="95"/>
    </row>
    <row r="63" spans="1:9" s="89" customFormat="1" ht="74.45" customHeight="1" x14ac:dyDescent="0.25">
      <c r="A63" s="90">
        <v>1</v>
      </c>
      <c r="B63" s="91" t="s">
        <v>406</v>
      </c>
      <c r="C63" s="93" t="s">
        <v>144</v>
      </c>
      <c r="D63" s="90" t="s">
        <v>161</v>
      </c>
      <c r="E63" s="92">
        <v>1</v>
      </c>
      <c r="F63" s="97"/>
      <c r="G63" s="98"/>
      <c r="H63" s="97"/>
      <c r="I63" s="147" t="s">
        <v>110</v>
      </c>
    </row>
    <row r="64" spans="1:9" s="102" customFormat="1" x14ac:dyDescent="0.25">
      <c r="A64" s="126"/>
      <c r="B64" s="100" t="s">
        <v>50</v>
      </c>
      <c r="C64" s="100"/>
      <c r="D64" s="100"/>
      <c r="E64" s="100"/>
      <c r="F64" s="100"/>
      <c r="G64" s="100"/>
      <c r="H64" s="158">
        <f>H50+H62</f>
        <v>0</v>
      </c>
      <c r="I64" s="101"/>
    </row>
    <row r="65" spans="1:12" ht="21.75" customHeight="1" x14ac:dyDescent="0.25">
      <c r="A65" s="127">
        <v>4</v>
      </c>
      <c r="B65" s="337" t="s">
        <v>51</v>
      </c>
      <c r="C65" s="337"/>
      <c r="D65" s="337"/>
      <c r="E65" s="337"/>
      <c r="F65" s="337"/>
      <c r="G65" s="337"/>
      <c r="H65" s="51"/>
      <c r="I65" s="51"/>
    </row>
    <row r="66" spans="1:12" s="104" customFormat="1" ht="47.25" customHeight="1" x14ac:dyDescent="0.25">
      <c r="A66" s="103" t="s">
        <v>25</v>
      </c>
      <c r="B66" s="338" t="s">
        <v>52</v>
      </c>
      <c r="C66" s="339"/>
      <c r="D66" s="21" t="s">
        <v>29</v>
      </c>
      <c r="E66" s="21" t="s">
        <v>53</v>
      </c>
      <c r="F66" s="21" t="s">
        <v>44</v>
      </c>
      <c r="G66" s="21" t="s">
        <v>54</v>
      </c>
      <c r="H66" s="21" t="s">
        <v>45</v>
      </c>
      <c r="I66" s="21" t="s">
        <v>33</v>
      </c>
    </row>
    <row r="67" spans="1:12" ht="23.25" customHeight="1" x14ac:dyDescent="0.25">
      <c r="A67" s="105"/>
      <c r="B67" s="340"/>
      <c r="C67" s="341"/>
      <c r="D67" s="106"/>
      <c r="E67" s="105"/>
      <c r="F67" s="107"/>
      <c r="G67" s="108"/>
      <c r="H67" s="108"/>
      <c r="I67" s="109"/>
      <c r="L67" s="110"/>
    </row>
    <row r="68" spans="1:12" s="112" customFormat="1" ht="33" customHeight="1" x14ac:dyDescent="0.25">
      <c r="A68" s="126"/>
      <c r="B68" s="342" t="s">
        <v>34</v>
      </c>
      <c r="C68" s="343"/>
      <c r="D68" s="100"/>
      <c r="E68" s="100"/>
      <c r="F68" s="100"/>
      <c r="G68" s="100"/>
      <c r="H68" s="163">
        <f>SUM(H67)</f>
        <v>0</v>
      </c>
      <c r="I68" s="111"/>
      <c r="L68" s="113"/>
    </row>
    <row r="69" spans="1:12" s="115" customFormat="1" ht="27.75" customHeight="1" x14ac:dyDescent="0.25">
      <c r="A69" s="128">
        <v>5</v>
      </c>
      <c r="B69" s="344" t="s">
        <v>56</v>
      </c>
      <c r="C69" s="344"/>
      <c r="D69" s="344"/>
      <c r="E69" s="344"/>
      <c r="F69" s="344"/>
      <c r="G69" s="345"/>
      <c r="H69" s="164">
        <f>H68+H64+H41+H35</f>
        <v>0</v>
      </c>
      <c r="I69" s="114" t="s">
        <v>57</v>
      </c>
    </row>
    <row r="70" spans="1:12" s="117" customFormat="1" ht="18.75" customHeight="1" x14ac:dyDescent="0.25">
      <c r="A70" s="129"/>
      <c r="B70" s="116" t="s">
        <v>78</v>
      </c>
      <c r="C70" s="346" t="s">
        <v>91</v>
      </c>
      <c r="D70" s="346"/>
      <c r="E70" s="346"/>
      <c r="F70" s="346"/>
      <c r="G70" s="346"/>
      <c r="H70" s="346"/>
      <c r="I70" s="346"/>
    </row>
    <row r="71" spans="1:12" s="41" customFormat="1" ht="1.5" hidden="1" customHeight="1" x14ac:dyDescent="0.3">
      <c r="A71" s="39"/>
      <c r="B71" s="118"/>
      <c r="E71" s="119"/>
      <c r="F71" s="316"/>
      <c r="G71" s="316"/>
      <c r="H71" s="316"/>
      <c r="I71" s="316"/>
    </row>
    <row r="72" spans="1:12" ht="17.25" hidden="1" customHeight="1" x14ac:dyDescent="0.25">
      <c r="F72" s="316" t="s">
        <v>76</v>
      </c>
      <c r="G72" s="316"/>
      <c r="H72" s="316"/>
      <c r="I72" s="316"/>
    </row>
    <row r="73" spans="1:12" ht="16.5" hidden="1" customHeight="1" x14ac:dyDescent="0.25">
      <c r="F73" s="317"/>
      <c r="G73" s="317"/>
      <c r="H73" s="317"/>
      <c r="I73" s="317"/>
    </row>
    <row r="74" spans="1:12" ht="16.5" hidden="1" customHeight="1" x14ac:dyDescent="0.25"/>
    <row r="75" spans="1:12" ht="16.5" hidden="1" customHeight="1" x14ac:dyDescent="0.25"/>
    <row r="76" spans="1:12" ht="16.5" hidden="1" customHeight="1" x14ac:dyDescent="0.25"/>
    <row r="77" spans="1:12" ht="16.5" hidden="1" customHeight="1" x14ac:dyDescent="0.25"/>
    <row r="78" spans="1:12" ht="16.5" hidden="1" customHeight="1" x14ac:dyDescent="0.25"/>
    <row r="79" spans="1:12" ht="16.5" hidden="1" customHeight="1" x14ac:dyDescent="0.25">
      <c r="F79" s="318" t="s">
        <v>77</v>
      </c>
      <c r="G79" s="318"/>
      <c r="H79" s="318"/>
      <c r="I79" s="318"/>
    </row>
    <row r="80" spans="1:12" ht="56.25" customHeight="1" x14ac:dyDescent="0.25">
      <c r="A80" s="319" t="s">
        <v>100</v>
      </c>
      <c r="B80" s="319"/>
      <c r="C80" s="319"/>
      <c r="D80" s="319"/>
      <c r="E80" s="319"/>
      <c r="F80" s="319"/>
      <c r="G80" s="319"/>
      <c r="H80" s="319"/>
      <c r="I80" s="319"/>
    </row>
    <row r="81" spans="1:9" ht="21.75" customHeight="1" x14ac:dyDescent="0.25">
      <c r="A81" s="315" t="s">
        <v>102</v>
      </c>
      <c r="B81" s="315"/>
      <c r="C81" s="315"/>
      <c r="D81" s="315"/>
      <c r="E81" s="315"/>
      <c r="F81" s="315"/>
      <c r="G81" s="315"/>
      <c r="H81" s="315"/>
      <c r="I81" s="315"/>
    </row>
    <row r="82" spans="1:9" x14ac:dyDescent="0.25">
      <c r="A82" s="320" t="s">
        <v>117</v>
      </c>
      <c r="B82" s="320"/>
      <c r="C82" s="320"/>
      <c r="D82" s="321"/>
      <c r="E82" s="322" t="s">
        <v>103</v>
      </c>
      <c r="F82" s="323"/>
      <c r="G82" s="323"/>
      <c r="H82" s="323"/>
      <c r="I82" s="323"/>
    </row>
    <row r="83" spans="1:9" ht="16.5" customHeight="1" x14ac:dyDescent="0.25">
      <c r="A83" s="320"/>
      <c r="B83" s="320"/>
      <c r="C83" s="320"/>
      <c r="D83" s="321"/>
      <c r="E83" s="322"/>
      <c r="F83" s="323"/>
      <c r="G83" s="323"/>
      <c r="H83" s="323"/>
      <c r="I83" s="323"/>
    </row>
    <row r="84" spans="1:9" x14ac:dyDescent="0.25">
      <c r="A84" s="320"/>
      <c r="B84" s="320"/>
      <c r="C84" s="320"/>
      <c r="D84" s="321"/>
      <c r="E84" s="38"/>
      <c r="I84" s="20"/>
    </row>
    <row r="85" spans="1:9" x14ac:dyDescent="0.25">
      <c r="A85" s="315" t="s">
        <v>101</v>
      </c>
      <c r="B85" s="315"/>
      <c r="C85" s="315"/>
      <c r="D85" s="315"/>
      <c r="E85" s="315"/>
      <c r="F85" s="315"/>
      <c r="G85" s="315"/>
      <c r="H85" s="315"/>
      <c r="I85" s="315"/>
    </row>
  </sheetData>
  <mergeCells count="61">
    <mergeCell ref="A25:A26"/>
    <mergeCell ref="A85:I85"/>
    <mergeCell ref="B65:G65"/>
    <mergeCell ref="B66:C66"/>
    <mergeCell ref="B69:G69"/>
    <mergeCell ref="C70:I70"/>
    <mergeCell ref="F72:I72"/>
    <mergeCell ref="F73:I73"/>
    <mergeCell ref="A81:I81"/>
    <mergeCell ref="B67:C67"/>
    <mergeCell ref="B68:C68"/>
    <mergeCell ref="F71:I71"/>
    <mergeCell ref="F79:I79"/>
    <mergeCell ref="A80:I80"/>
    <mergeCell ref="A82:D84"/>
    <mergeCell ref="E82:I83"/>
    <mergeCell ref="E1:I1"/>
    <mergeCell ref="E2:I2"/>
    <mergeCell ref="E4:I4"/>
    <mergeCell ref="A1:D1"/>
    <mergeCell ref="A2:D2"/>
    <mergeCell ref="A4:D4"/>
    <mergeCell ref="C24:I24"/>
    <mergeCell ref="A5:I5"/>
    <mergeCell ref="A6:I6"/>
    <mergeCell ref="A7:I7"/>
    <mergeCell ref="B8:I8"/>
    <mergeCell ref="B9:E9"/>
    <mergeCell ref="F9:I9"/>
    <mergeCell ref="F13:I13"/>
    <mergeCell ref="C10:I10"/>
    <mergeCell ref="C11:I11"/>
    <mergeCell ref="C12:E12"/>
    <mergeCell ref="C14:I14"/>
    <mergeCell ref="C15:I15"/>
    <mergeCell ref="C16:E16"/>
    <mergeCell ref="B17:I17"/>
    <mergeCell ref="D19:E19"/>
    <mergeCell ref="B27:F27"/>
    <mergeCell ref="B28:G28"/>
    <mergeCell ref="B29:I29"/>
    <mergeCell ref="B30:I30"/>
    <mergeCell ref="C25:I26"/>
    <mergeCell ref="B25:B26"/>
    <mergeCell ref="A43:A45"/>
    <mergeCell ref="B43:G43"/>
    <mergeCell ref="B44:G44"/>
    <mergeCell ref="B45:G45"/>
    <mergeCell ref="A31:A32"/>
    <mergeCell ref="B31:I31"/>
    <mergeCell ref="B32:C32"/>
    <mergeCell ref="B33:C33"/>
    <mergeCell ref="B34:C34"/>
    <mergeCell ref="I51:I61"/>
    <mergeCell ref="B35:C35"/>
    <mergeCell ref="B37:I37"/>
    <mergeCell ref="B38:C38"/>
    <mergeCell ref="B39:C39"/>
    <mergeCell ref="B40:C40"/>
    <mergeCell ref="B47:G47"/>
    <mergeCell ref="B41:C41"/>
  </mergeCells>
  <pageMargins left="0.11811023622047245" right="0.11811023622047245" top="0.19685039370078741" bottom="0.15748031496062992" header="0.19685039370078741" footer="0.15748031496062992"/>
  <pageSetup paperSize="9" scale="80" orientation="portrait" r:id="rId1"/>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78"/>
  <sheetViews>
    <sheetView topLeftCell="A31" workbookViewId="0">
      <selection activeCell="B37" sqref="B37:C37"/>
    </sheetView>
  </sheetViews>
  <sheetFormatPr defaultColWidth="9.140625" defaultRowHeight="16.5" x14ac:dyDescent="0.25"/>
  <cols>
    <col min="1" max="1" width="4.42578125" style="68" customWidth="1"/>
    <col min="2" max="2" width="27.140625" style="20" customWidth="1"/>
    <col min="3" max="3" width="8.140625" style="20" customWidth="1"/>
    <col min="4" max="4" width="24.42578125" style="20" customWidth="1"/>
    <col min="5" max="5" width="9.140625" style="23" customWidth="1"/>
    <col min="6" max="6" width="12.28515625" style="20" customWidth="1"/>
    <col min="7" max="7" width="9.42578125" style="20" customWidth="1"/>
    <col min="8" max="8" width="14.28515625" style="20" customWidth="1"/>
    <col min="9" max="9" width="15.42578125" style="120" customWidth="1"/>
    <col min="10" max="10" width="12.28515625" style="20" customWidth="1"/>
    <col min="11" max="11" width="9.140625" style="20" customWidth="1"/>
    <col min="12" max="12" width="11.42578125" style="20" customWidth="1"/>
    <col min="13" max="19" width="9.140625" style="20" customWidth="1"/>
    <col min="20" max="16384" width="9.140625" style="20"/>
  </cols>
  <sheetData>
    <row r="1" spans="1:17" s="36" customFormat="1" x14ac:dyDescent="0.25">
      <c r="A1" s="368" t="s">
        <v>98</v>
      </c>
      <c r="B1" s="368"/>
      <c r="C1" s="368"/>
      <c r="D1" s="368"/>
      <c r="E1" s="368" t="s">
        <v>0</v>
      </c>
      <c r="F1" s="368"/>
      <c r="G1" s="368"/>
      <c r="H1" s="368"/>
      <c r="I1" s="368"/>
    </row>
    <row r="2" spans="1:17" s="36" customFormat="1" x14ac:dyDescent="0.25">
      <c r="A2" s="369" t="s">
        <v>99</v>
      </c>
      <c r="B2" s="369"/>
      <c r="C2" s="369"/>
      <c r="D2" s="369"/>
      <c r="E2" s="369" t="s">
        <v>1</v>
      </c>
      <c r="F2" s="368"/>
      <c r="G2" s="368"/>
      <c r="H2" s="368"/>
      <c r="I2" s="368"/>
    </row>
    <row r="3" spans="1:17" s="36" customFormat="1" ht="15.75" customHeight="1" x14ac:dyDescent="0.25">
      <c r="A3" s="39"/>
      <c r="C3" s="39"/>
      <c r="D3" s="39"/>
      <c r="E3" s="39"/>
      <c r="F3" s="39"/>
      <c r="G3" s="39"/>
      <c r="H3" s="39"/>
      <c r="I3" s="37"/>
    </row>
    <row r="4" spans="1:17" s="36" customFormat="1" x14ac:dyDescent="0.25">
      <c r="A4" s="369" t="s">
        <v>89</v>
      </c>
      <c r="B4" s="369"/>
      <c r="C4" s="369"/>
      <c r="D4" s="369"/>
      <c r="E4" s="370" t="s">
        <v>185</v>
      </c>
      <c r="F4" s="370"/>
      <c r="G4" s="370"/>
      <c r="H4" s="370"/>
      <c r="I4" s="370"/>
    </row>
    <row r="5" spans="1:17" s="40" customFormat="1" ht="18.75" customHeight="1" x14ac:dyDescent="0.25">
      <c r="A5" s="371" t="s">
        <v>85</v>
      </c>
      <c r="B5" s="371"/>
      <c r="C5" s="371"/>
      <c r="D5" s="371"/>
      <c r="E5" s="371"/>
      <c r="F5" s="371"/>
      <c r="G5" s="371"/>
      <c r="H5" s="371"/>
      <c r="I5" s="371"/>
    </row>
    <row r="6" spans="1:17" s="40" customFormat="1" ht="35.25" customHeight="1" x14ac:dyDescent="0.25">
      <c r="A6" s="372" t="s">
        <v>86</v>
      </c>
      <c r="B6" s="372"/>
      <c r="C6" s="372"/>
      <c r="D6" s="372"/>
      <c r="E6" s="372"/>
      <c r="F6" s="372"/>
      <c r="G6" s="372"/>
      <c r="H6" s="372"/>
      <c r="I6" s="372"/>
      <c r="Q6" s="41"/>
    </row>
    <row r="7" spans="1:17" s="40" customFormat="1" ht="30.75" customHeight="1" x14ac:dyDescent="0.25">
      <c r="A7" s="373" t="s">
        <v>166</v>
      </c>
      <c r="B7" s="373"/>
      <c r="C7" s="373"/>
      <c r="D7" s="373"/>
      <c r="E7" s="373"/>
      <c r="F7" s="373"/>
      <c r="G7" s="373"/>
      <c r="H7" s="373"/>
      <c r="I7" s="373"/>
    </row>
    <row r="8" spans="1:17" s="42" customFormat="1" ht="19.899999999999999" customHeight="1" x14ac:dyDescent="0.25">
      <c r="A8" s="121" t="s">
        <v>2</v>
      </c>
      <c r="B8" s="362" t="s">
        <v>3</v>
      </c>
      <c r="C8" s="362"/>
      <c r="D8" s="362"/>
      <c r="E8" s="362"/>
      <c r="F8" s="362"/>
      <c r="G8" s="362"/>
      <c r="H8" s="362"/>
      <c r="I8" s="362"/>
    </row>
    <row r="9" spans="1:17" s="42" customFormat="1" ht="19.899999999999999" customHeight="1" x14ac:dyDescent="0.25">
      <c r="A9" s="121" t="s">
        <v>4</v>
      </c>
      <c r="B9" s="374" t="s">
        <v>5</v>
      </c>
      <c r="C9" s="374"/>
      <c r="D9" s="374"/>
      <c r="E9" s="374"/>
      <c r="F9" s="375" t="s">
        <v>283</v>
      </c>
      <c r="G9" s="375"/>
      <c r="H9" s="375"/>
      <c r="I9" s="375"/>
    </row>
    <row r="10" spans="1:17" s="42" customFormat="1" ht="19.899999999999999" customHeight="1" x14ac:dyDescent="0.25">
      <c r="A10" s="122"/>
      <c r="B10" s="24" t="s">
        <v>6</v>
      </c>
      <c r="C10" s="365" t="s">
        <v>146</v>
      </c>
      <c r="D10" s="365"/>
      <c r="E10" s="365"/>
      <c r="F10" s="365"/>
      <c r="G10" s="365"/>
      <c r="H10" s="365"/>
      <c r="I10" s="365"/>
    </row>
    <row r="11" spans="1:17" s="42" customFormat="1" ht="19.899999999999999" customHeight="1" x14ac:dyDescent="0.25">
      <c r="A11" s="122"/>
      <c r="B11" s="24" t="s">
        <v>7</v>
      </c>
      <c r="C11" s="365" t="s">
        <v>146</v>
      </c>
      <c r="D11" s="365"/>
      <c r="E11" s="365"/>
      <c r="F11" s="365"/>
      <c r="G11" s="365"/>
      <c r="H11" s="365"/>
      <c r="I11" s="365"/>
    </row>
    <row r="12" spans="1:17" s="42" customFormat="1" ht="19.899999999999999" customHeight="1" x14ac:dyDescent="0.25">
      <c r="A12" s="122"/>
      <c r="B12" s="24" t="s">
        <v>11</v>
      </c>
      <c r="C12" s="233" t="s">
        <v>284</v>
      </c>
      <c r="D12" s="233"/>
      <c r="E12" s="233"/>
      <c r="F12" s="43"/>
      <c r="G12" s="43"/>
      <c r="H12" s="43"/>
      <c r="I12" s="43"/>
    </row>
    <row r="13" spans="1:17" s="42" customFormat="1" ht="19.899999999999999" customHeight="1" x14ac:dyDescent="0.25">
      <c r="A13" s="121" t="s">
        <v>9</v>
      </c>
      <c r="B13" s="44" t="s">
        <v>10</v>
      </c>
      <c r="E13" s="43"/>
      <c r="F13" s="375" t="str">
        <f>+F9</f>
        <v>Nguyễn Đức Tú</v>
      </c>
      <c r="G13" s="375"/>
      <c r="H13" s="375"/>
      <c r="I13" s="375"/>
      <c r="J13" s="45"/>
    </row>
    <row r="14" spans="1:17" s="42" customFormat="1" ht="19.899999999999999" customHeight="1" x14ac:dyDescent="0.25">
      <c r="A14" s="122"/>
      <c r="B14" s="24" t="s">
        <v>6</v>
      </c>
      <c r="C14" s="365" t="str">
        <f>C10</f>
        <v>Thôn Phố Gốt - xã Phú Nghĩa - TP Hà Nội</v>
      </c>
      <c r="D14" s="365"/>
      <c r="E14" s="365"/>
      <c r="F14" s="365"/>
      <c r="G14" s="365"/>
      <c r="H14" s="365"/>
      <c r="I14" s="365"/>
    </row>
    <row r="15" spans="1:17" s="42" customFormat="1" ht="19.899999999999999" customHeight="1" x14ac:dyDescent="0.25">
      <c r="A15" s="122"/>
      <c r="B15" s="24" t="s">
        <v>7</v>
      </c>
      <c r="C15" s="365" t="str">
        <f>C11</f>
        <v>Thôn Phố Gốt - xã Phú Nghĩa - TP Hà Nội</v>
      </c>
      <c r="D15" s="365"/>
      <c r="E15" s="365"/>
      <c r="F15" s="365"/>
      <c r="G15" s="365"/>
      <c r="H15" s="365"/>
      <c r="I15" s="365"/>
    </row>
    <row r="16" spans="1:17" s="42" customFormat="1" ht="19.899999999999999" customHeight="1" x14ac:dyDescent="0.25">
      <c r="A16" s="122"/>
      <c r="B16" s="24" t="s">
        <v>11</v>
      </c>
      <c r="C16" s="233" t="str">
        <f>+C12</f>
        <v>001095032801</v>
      </c>
      <c r="D16" s="233"/>
      <c r="E16" s="233"/>
      <c r="F16" s="43"/>
      <c r="G16" s="43"/>
      <c r="H16" s="43"/>
      <c r="I16" s="43"/>
    </row>
    <row r="17" spans="1:19" s="42" customFormat="1" ht="19.899999999999999" customHeight="1" x14ac:dyDescent="0.25">
      <c r="A17" s="121" t="s">
        <v>12</v>
      </c>
      <c r="B17" s="362" t="s">
        <v>13</v>
      </c>
      <c r="C17" s="362"/>
      <c r="D17" s="362"/>
      <c r="E17" s="362"/>
      <c r="F17" s="362"/>
      <c r="G17" s="362"/>
      <c r="H17" s="362"/>
      <c r="I17" s="362"/>
    </row>
    <row r="18" spans="1:19" s="42" customFormat="1" ht="19.899999999999999" customHeight="1" x14ac:dyDescent="0.25">
      <c r="A18" s="121" t="s">
        <v>4</v>
      </c>
      <c r="B18" s="46" t="s">
        <v>14</v>
      </c>
      <c r="E18" s="43"/>
    </row>
    <row r="19" spans="1:19" s="51" customFormat="1" ht="19.899999999999999" customHeight="1" x14ac:dyDescent="0.25">
      <c r="A19" s="123"/>
      <c r="B19" s="47" t="s">
        <v>15</v>
      </c>
      <c r="C19" s="48">
        <v>62</v>
      </c>
      <c r="D19" s="363" t="s">
        <v>16</v>
      </c>
      <c r="E19" s="363"/>
      <c r="F19" s="49" t="s">
        <v>113</v>
      </c>
      <c r="G19" s="50"/>
      <c r="I19" s="50"/>
    </row>
    <row r="20" spans="1:19" s="51" customFormat="1" ht="19.899999999999999" customHeight="1" x14ac:dyDescent="0.25">
      <c r="A20" s="123"/>
      <c r="B20" s="47" t="s">
        <v>17</v>
      </c>
      <c r="C20" s="52">
        <v>111.5</v>
      </c>
      <c r="D20" s="50" t="s">
        <v>105</v>
      </c>
      <c r="E20" s="53"/>
      <c r="F20" s="54"/>
      <c r="H20" s="55"/>
      <c r="I20" s="50"/>
    </row>
    <row r="21" spans="1:19" s="51" customFormat="1" ht="19.899999999999999" customHeight="1" x14ac:dyDescent="0.25">
      <c r="A21" s="123"/>
      <c r="B21" s="56" t="s">
        <v>18</v>
      </c>
      <c r="C21" s="57"/>
      <c r="D21" s="50"/>
      <c r="E21" s="53"/>
      <c r="F21" s="50"/>
      <c r="H21" s="55"/>
      <c r="I21" s="50"/>
    </row>
    <row r="22" spans="1:19" s="51" customFormat="1" ht="19.899999999999999" customHeight="1" x14ac:dyDescent="0.25">
      <c r="A22" s="123"/>
      <c r="B22" s="47" t="s">
        <v>19</v>
      </c>
      <c r="C22" s="52">
        <v>37.6</v>
      </c>
      <c r="D22" s="50" t="s">
        <v>105</v>
      </c>
      <c r="E22" s="53"/>
      <c r="F22" s="50"/>
      <c r="H22" s="55"/>
      <c r="I22" s="50"/>
    </row>
    <row r="23" spans="1:19" s="51" customFormat="1" ht="19.899999999999999" customHeight="1" x14ac:dyDescent="0.25">
      <c r="A23" s="123"/>
      <c r="B23" s="47" t="s">
        <v>20</v>
      </c>
      <c r="C23" s="57">
        <f>C20-C22</f>
        <v>73.900000000000006</v>
      </c>
      <c r="D23" s="50" t="s">
        <v>105</v>
      </c>
      <c r="E23" s="53"/>
      <c r="F23" s="50"/>
      <c r="H23" s="55"/>
      <c r="I23" s="50"/>
    </row>
    <row r="24" spans="1:19" s="42" customFormat="1" ht="19.899999999999999" customHeight="1" x14ac:dyDescent="0.25">
      <c r="A24" s="122"/>
      <c r="B24" s="24" t="s">
        <v>21</v>
      </c>
      <c r="C24" s="362" t="s">
        <v>146</v>
      </c>
      <c r="D24" s="362"/>
      <c r="E24" s="362"/>
      <c r="F24" s="362"/>
      <c r="G24" s="362"/>
      <c r="H24" s="362"/>
      <c r="I24" s="362"/>
    </row>
    <row r="25" spans="1:19" s="36" customFormat="1" ht="211.15" customHeight="1" x14ac:dyDescent="0.25">
      <c r="A25" s="39" t="s">
        <v>9</v>
      </c>
      <c r="B25" s="58" t="s">
        <v>73</v>
      </c>
      <c r="C25" s="366" t="s">
        <v>575</v>
      </c>
      <c r="D25" s="367"/>
      <c r="E25" s="367"/>
      <c r="F25" s="367"/>
      <c r="G25" s="367"/>
      <c r="H25" s="367"/>
      <c r="I25" s="367"/>
      <c r="J25" s="133"/>
      <c r="K25" s="133"/>
      <c r="L25" s="59"/>
      <c r="M25" s="59"/>
      <c r="N25" s="59"/>
      <c r="O25" s="59"/>
      <c r="P25" s="59"/>
      <c r="Q25" s="59"/>
      <c r="R25" s="59"/>
      <c r="S25" s="59"/>
    </row>
    <row r="26" spans="1:19" s="36" customFormat="1" ht="19.899999999999999" customHeight="1" x14ac:dyDescent="0.25">
      <c r="A26" s="39" t="s">
        <v>22</v>
      </c>
      <c r="B26" s="364" t="s">
        <v>82</v>
      </c>
      <c r="C26" s="364"/>
      <c r="D26" s="364"/>
      <c r="E26" s="364"/>
      <c r="F26" s="364"/>
      <c r="G26" s="60"/>
      <c r="H26" s="149" t="s">
        <v>112</v>
      </c>
      <c r="I26" s="60" t="s">
        <v>55</v>
      </c>
      <c r="J26" s="142"/>
      <c r="K26" s="142"/>
      <c r="L26" s="59"/>
      <c r="M26" s="59"/>
      <c r="N26" s="59"/>
      <c r="O26" s="59"/>
      <c r="P26" s="59"/>
      <c r="Q26" s="59"/>
      <c r="R26" s="59"/>
      <c r="S26" s="59"/>
    </row>
    <row r="27" spans="1:19" s="36" customFormat="1" ht="19.899999999999999" customHeight="1" x14ac:dyDescent="0.25">
      <c r="A27" s="39" t="s">
        <v>23</v>
      </c>
      <c r="B27" s="364" t="s">
        <v>65</v>
      </c>
      <c r="C27" s="364"/>
      <c r="D27" s="364"/>
      <c r="E27" s="364"/>
      <c r="F27" s="364"/>
      <c r="G27" s="364"/>
      <c r="H27" s="148" t="s">
        <v>119</v>
      </c>
      <c r="I27" s="60" t="s">
        <v>84</v>
      </c>
      <c r="J27" s="59"/>
      <c r="K27" s="59"/>
      <c r="L27" s="59"/>
      <c r="M27" s="59"/>
      <c r="N27" s="59"/>
      <c r="O27" s="59"/>
      <c r="P27" s="59"/>
      <c r="Q27" s="59"/>
      <c r="R27" s="59"/>
      <c r="S27" s="59"/>
    </row>
    <row r="28" spans="1:19" s="41" customFormat="1" x14ac:dyDescent="0.25">
      <c r="A28" s="39" t="s">
        <v>88</v>
      </c>
      <c r="B28" s="364" t="s">
        <v>87</v>
      </c>
      <c r="C28" s="364"/>
      <c r="D28" s="364"/>
      <c r="E28" s="364"/>
      <c r="F28" s="364"/>
      <c r="G28" s="364"/>
      <c r="H28" s="364"/>
      <c r="I28" s="364"/>
    </row>
    <row r="29" spans="1:19" s="40" customFormat="1" x14ac:dyDescent="0.25">
      <c r="A29" s="39" t="s">
        <v>4</v>
      </c>
      <c r="B29" s="360" t="s">
        <v>24</v>
      </c>
      <c r="C29" s="360"/>
      <c r="D29" s="360"/>
      <c r="E29" s="360"/>
      <c r="F29" s="360"/>
      <c r="G29" s="360"/>
      <c r="H29" s="360"/>
      <c r="I29" s="360"/>
      <c r="J29" s="41"/>
      <c r="K29" s="41"/>
      <c r="L29" s="41"/>
      <c r="M29" s="41"/>
      <c r="N29" s="41"/>
      <c r="O29" s="41"/>
      <c r="P29" s="41"/>
      <c r="Q29" s="41"/>
      <c r="R29" s="41"/>
      <c r="S29" s="41"/>
    </row>
    <row r="30" spans="1:19" s="24" customFormat="1" ht="32.25" customHeight="1" x14ac:dyDescent="0.25">
      <c r="A30" s="351" t="s">
        <v>25</v>
      </c>
      <c r="B30" s="353" t="s">
        <v>26</v>
      </c>
      <c r="C30" s="354"/>
      <c r="D30" s="354"/>
      <c r="E30" s="354"/>
      <c r="F30" s="354"/>
      <c r="G30" s="354"/>
      <c r="H30" s="354"/>
      <c r="I30" s="355"/>
    </row>
    <row r="31" spans="1:19" s="25" customFormat="1" ht="49.5" x14ac:dyDescent="0.25">
      <c r="A31" s="352"/>
      <c r="B31" s="353" t="s">
        <v>27</v>
      </c>
      <c r="C31" s="355"/>
      <c r="D31" s="21" t="s">
        <v>28</v>
      </c>
      <c r="E31" s="22" t="s">
        <v>29</v>
      </c>
      <c r="F31" s="22" t="s">
        <v>30</v>
      </c>
      <c r="G31" s="21" t="s">
        <v>31</v>
      </c>
      <c r="H31" s="22" t="s">
        <v>104</v>
      </c>
      <c r="I31" s="22" t="s">
        <v>33</v>
      </c>
    </row>
    <row r="32" spans="1:19" s="62" customFormat="1" ht="18.75" customHeight="1" x14ac:dyDescent="0.25">
      <c r="A32" s="61">
        <v>1</v>
      </c>
      <c r="B32" s="356">
        <v>2</v>
      </c>
      <c r="C32" s="357"/>
      <c r="D32" s="61">
        <v>3</v>
      </c>
      <c r="E32" s="61">
        <v>4</v>
      </c>
      <c r="F32" s="61">
        <v>5</v>
      </c>
      <c r="G32" s="61">
        <v>6</v>
      </c>
      <c r="H32" s="61">
        <v>7</v>
      </c>
      <c r="I32" s="61">
        <v>8</v>
      </c>
    </row>
    <row r="33" spans="1:9" s="68" customFormat="1" ht="36" customHeight="1" x14ac:dyDescent="0.25">
      <c r="A33" s="63">
        <v>1</v>
      </c>
      <c r="B33" s="358" t="s">
        <v>563</v>
      </c>
      <c r="C33" s="359"/>
      <c r="D33" s="64" t="s">
        <v>106</v>
      </c>
      <c r="E33" s="65">
        <f>C22</f>
        <v>37.6</v>
      </c>
      <c r="F33" s="63"/>
      <c r="G33" s="66"/>
      <c r="H33" s="166">
        <f>E33*F33*G33</f>
        <v>0</v>
      </c>
      <c r="I33" s="67"/>
    </row>
    <row r="34" spans="1:9" s="71" customFormat="1" ht="23.25" customHeight="1" x14ac:dyDescent="0.25">
      <c r="A34" s="69"/>
      <c r="B34" s="349" t="s">
        <v>34</v>
      </c>
      <c r="C34" s="350"/>
      <c r="D34" s="69"/>
      <c r="E34" s="69"/>
      <c r="F34" s="69"/>
      <c r="G34" s="69"/>
      <c r="H34" s="169">
        <f>SUM(H33:H33)</f>
        <v>0</v>
      </c>
      <c r="I34" s="69"/>
    </row>
    <row r="35" spans="1:9" ht="9.75" customHeight="1" x14ac:dyDescent="0.25">
      <c r="A35" s="77"/>
      <c r="B35" s="72"/>
      <c r="C35" s="72"/>
      <c r="D35" s="73"/>
      <c r="E35" s="73"/>
      <c r="F35" s="73"/>
      <c r="G35" s="73"/>
      <c r="H35" s="73"/>
      <c r="I35" s="73"/>
    </row>
    <row r="36" spans="1:9" x14ac:dyDescent="0.25">
      <c r="A36" s="75" t="s">
        <v>9</v>
      </c>
      <c r="B36" s="360" t="s">
        <v>35</v>
      </c>
      <c r="C36" s="360"/>
      <c r="D36" s="360"/>
      <c r="E36" s="360"/>
      <c r="F36" s="360"/>
      <c r="G36" s="360"/>
      <c r="H36" s="360"/>
      <c r="I36" s="360"/>
    </row>
    <row r="37" spans="1:9" s="23" customFormat="1" ht="49.5" x14ac:dyDescent="0.25">
      <c r="A37" s="29" t="s">
        <v>25</v>
      </c>
      <c r="B37" s="353" t="s">
        <v>27</v>
      </c>
      <c r="C37" s="355"/>
      <c r="D37" s="21" t="s">
        <v>28</v>
      </c>
      <c r="E37" s="22" t="s">
        <v>29</v>
      </c>
      <c r="F37" s="22" t="s">
        <v>30</v>
      </c>
      <c r="G37" s="21" t="s">
        <v>31</v>
      </c>
      <c r="H37" s="22" t="s">
        <v>32</v>
      </c>
      <c r="I37" s="22" t="s">
        <v>33</v>
      </c>
    </row>
    <row r="38" spans="1:9" s="62" customFormat="1" ht="18" customHeight="1" x14ac:dyDescent="0.25">
      <c r="A38" s="61">
        <v>1</v>
      </c>
      <c r="B38" s="356">
        <v>2</v>
      </c>
      <c r="C38" s="357"/>
      <c r="D38" s="61">
        <v>3</v>
      </c>
      <c r="E38" s="61">
        <v>4</v>
      </c>
      <c r="F38" s="61">
        <v>5</v>
      </c>
      <c r="G38" s="61">
        <v>6</v>
      </c>
      <c r="H38" s="61">
        <v>7</v>
      </c>
      <c r="I38" s="61">
        <v>8</v>
      </c>
    </row>
    <row r="39" spans="1:9" ht="37.5" customHeight="1" x14ac:dyDescent="0.25">
      <c r="A39" s="26">
        <v>1</v>
      </c>
      <c r="B39" s="353"/>
      <c r="C39" s="355"/>
      <c r="D39" s="27"/>
      <c r="E39" s="22"/>
      <c r="F39" s="27"/>
      <c r="G39" s="27"/>
      <c r="H39" s="177"/>
      <c r="I39" s="26" t="s">
        <v>36</v>
      </c>
    </row>
    <row r="40" spans="1:9" s="71" customFormat="1" ht="25.5" customHeight="1" x14ac:dyDescent="0.25">
      <c r="A40" s="69"/>
      <c r="B40" s="349" t="s">
        <v>34</v>
      </c>
      <c r="C40" s="350"/>
      <c r="D40" s="74"/>
      <c r="E40" s="69"/>
      <c r="F40" s="74"/>
      <c r="G40" s="74"/>
      <c r="H40" s="178"/>
      <c r="I40" s="69"/>
    </row>
    <row r="41" spans="1:9" x14ac:dyDescent="0.25">
      <c r="A41" s="124"/>
      <c r="B41" s="75"/>
      <c r="C41" s="75"/>
      <c r="D41" s="76"/>
      <c r="E41" s="75"/>
      <c r="F41" s="76"/>
      <c r="G41" s="76"/>
      <c r="H41" s="179"/>
      <c r="I41" s="75"/>
    </row>
    <row r="42" spans="1:9" x14ac:dyDescent="0.25">
      <c r="A42" s="324"/>
      <c r="B42" s="327" t="s">
        <v>37</v>
      </c>
      <c r="C42" s="328"/>
      <c r="D42" s="328"/>
      <c r="E42" s="328"/>
      <c r="F42" s="328"/>
      <c r="G42" s="329"/>
      <c r="H42" s="177"/>
      <c r="I42" s="26" t="s">
        <v>74</v>
      </c>
    </row>
    <row r="43" spans="1:9" x14ac:dyDescent="0.25">
      <c r="A43" s="325"/>
      <c r="B43" s="330" t="s">
        <v>38</v>
      </c>
      <c r="C43" s="331"/>
      <c r="D43" s="331"/>
      <c r="E43" s="331"/>
      <c r="F43" s="331"/>
      <c r="G43" s="332"/>
      <c r="H43" s="177"/>
      <c r="I43" s="26" t="s">
        <v>74</v>
      </c>
    </row>
    <row r="44" spans="1:9" x14ac:dyDescent="0.25">
      <c r="A44" s="326"/>
      <c r="B44" s="333" t="s">
        <v>39</v>
      </c>
      <c r="C44" s="334"/>
      <c r="D44" s="334"/>
      <c r="E44" s="334"/>
      <c r="F44" s="334"/>
      <c r="G44" s="335"/>
      <c r="H44" s="177"/>
      <c r="I44" s="26" t="s">
        <v>74</v>
      </c>
    </row>
    <row r="45" spans="1:9" ht="6.75" customHeight="1" x14ac:dyDescent="0.25">
      <c r="A45" s="77"/>
      <c r="B45" s="72"/>
      <c r="C45" s="72"/>
      <c r="D45" s="72"/>
      <c r="E45" s="78"/>
      <c r="F45" s="72"/>
      <c r="G45" s="72"/>
      <c r="H45" s="180"/>
      <c r="I45" s="79"/>
    </row>
    <row r="46" spans="1:9" ht="22.5" customHeight="1" x14ac:dyDescent="0.25">
      <c r="A46" s="125" t="s">
        <v>22</v>
      </c>
      <c r="B46" s="376" t="s">
        <v>40</v>
      </c>
      <c r="C46" s="376"/>
      <c r="D46" s="376"/>
      <c r="E46" s="376"/>
      <c r="F46" s="376"/>
      <c r="G46" s="376"/>
      <c r="H46" s="181"/>
      <c r="I46" s="81"/>
    </row>
    <row r="47" spans="1:9" s="30" customFormat="1" ht="49.5" x14ac:dyDescent="0.25">
      <c r="A47" s="21" t="s">
        <v>25</v>
      </c>
      <c r="B47" s="21" t="s">
        <v>41</v>
      </c>
      <c r="C47" s="21" t="s">
        <v>28</v>
      </c>
      <c r="D47" s="21" t="s">
        <v>42</v>
      </c>
      <c r="E47" s="21" t="s">
        <v>43</v>
      </c>
      <c r="F47" s="21" t="s">
        <v>44</v>
      </c>
      <c r="G47" s="21" t="s">
        <v>31</v>
      </c>
      <c r="H47" s="170" t="s">
        <v>45</v>
      </c>
      <c r="I47" s="21" t="s">
        <v>33</v>
      </c>
    </row>
    <row r="48" spans="1:9" s="83" customFormat="1" ht="18" customHeight="1" x14ac:dyDescent="0.25">
      <c r="A48" s="82">
        <v>1</v>
      </c>
      <c r="B48" s="82">
        <v>2</v>
      </c>
      <c r="C48" s="82">
        <v>3</v>
      </c>
      <c r="D48" s="82">
        <v>4</v>
      </c>
      <c r="E48" s="82">
        <v>5</v>
      </c>
      <c r="F48" s="82">
        <v>6</v>
      </c>
      <c r="G48" s="82">
        <v>7</v>
      </c>
      <c r="H48" s="182">
        <v>8</v>
      </c>
      <c r="I48" s="82">
        <v>9</v>
      </c>
    </row>
    <row r="49" spans="1:12" s="89" customFormat="1" ht="30" customHeight="1" x14ac:dyDescent="0.25">
      <c r="A49" s="21" t="s">
        <v>46</v>
      </c>
      <c r="B49" s="84" t="s">
        <v>47</v>
      </c>
      <c r="C49" s="85"/>
      <c r="D49" s="85"/>
      <c r="E49" s="86"/>
      <c r="F49" s="85"/>
      <c r="G49" s="85"/>
      <c r="H49" s="171">
        <f>SUM(H50:H54)</f>
        <v>0</v>
      </c>
      <c r="I49" s="88"/>
    </row>
    <row r="50" spans="1:12" s="89" customFormat="1" ht="55.9" customHeight="1" x14ac:dyDescent="0.25">
      <c r="A50" s="90">
        <v>1</v>
      </c>
      <c r="B50" s="91" t="s">
        <v>285</v>
      </c>
      <c r="C50" s="64" t="s">
        <v>106</v>
      </c>
      <c r="D50" s="90" t="s">
        <v>286</v>
      </c>
      <c r="E50" s="92">
        <f>8.46*4.42</f>
        <v>37.3932</v>
      </c>
      <c r="F50" s="93"/>
      <c r="G50" s="93"/>
      <c r="H50" s="172"/>
      <c r="I50" s="347" t="s">
        <v>110</v>
      </c>
    </row>
    <row r="51" spans="1:12" s="89" customFormat="1" ht="35.450000000000003" customHeight="1" x14ac:dyDescent="0.25">
      <c r="A51" s="90">
        <v>2</v>
      </c>
      <c r="B51" s="91" t="s">
        <v>287</v>
      </c>
      <c r="C51" s="64" t="s">
        <v>106</v>
      </c>
      <c r="D51" s="96" t="s">
        <v>288</v>
      </c>
      <c r="E51" s="222">
        <f>7.9*4.42</f>
        <v>34.917999999999999</v>
      </c>
      <c r="F51" s="93"/>
      <c r="G51" s="93"/>
      <c r="H51" s="172"/>
      <c r="I51" s="348"/>
    </row>
    <row r="52" spans="1:12" s="89" customFormat="1" ht="25.15" customHeight="1" x14ac:dyDescent="0.25">
      <c r="A52" s="90">
        <v>3</v>
      </c>
      <c r="B52" s="91" t="s">
        <v>289</v>
      </c>
      <c r="C52" s="64" t="s">
        <v>106</v>
      </c>
      <c r="D52" s="90" t="s">
        <v>290</v>
      </c>
      <c r="E52" s="231">
        <v>32.700000000000003</v>
      </c>
      <c r="F52" s="93"/>
      <c r="G52" s="93"/>
      <c r="H52" s="172"/>
      <c r="I52" s="348"/>
    </row>
    <row r="53" spans="1:12" s="89" customFormat="1" ht="25.15" customHeight="1" x14ac:dyDescent="0.25">
      <c r="A53" s="90">
        <v>4</v>
      </c>
      <c r="B53" s="132" t="s">
        <v>291</v>
      </c>
      <c r="C53" s="64" t="s">
        <v>106</v>
      </c>
      <c r="D53" s="96" t="s">
        <v>292</v>
      </c>
      <c r="E53" s="222">
        <f>4.42*4.4</f>
        <v>19.448</v>
      </c>
      <c r="F53" s="93"/>
      <c r="G53" s="93"/>
      <c r="H53" s="172"/>
      <c r="I53" s="348"/>
    </row>
    <row r="54" spans="1:12" s="89" customFormat="1" ht="25.15" customHeight="1" x14ac:dyDescent="0.25">
      <c r="A54" s="90">
        <v>5</v>
      </c>
      <c r="B54" s="132" t="s">
        <v>90</v>
      </c>
      <c r="C54" s="64" t="s">
        <v>106</v>
      </c>
      <c r="D54" s="90" t="s">
        <v>293</v>
      </c>
      <c r="E54" s="92">
        <f>6*4.4</f>
        <v>26.400000000000002</v>
      </c>
      <c r="F54" s="93"/>
      <c r="G54" s="93"/>
      <c r="H54" s="172"/>
      <c r="I54" s="348"/>
    </row>
    <row r="55" spans="1:12" s="89" customFormat="1" ht="25.5" customHeight="1" x14ac:dyDescent="0.25">
      <c r="A55" s="21" t="s">
        <v>48</v>
      </c>
      <c r="B55" s="84" t="s">
        <v>49</v>
      </c>
      <c r="C55" s="85"/>
      <c r="D55" s="85"/>
      <c r="E55" s="92"/>
      <c r="F55" s="85"/>
      <c r="G55" s="85"/>
      <c r="H55" s="171">
        <f>SUM(H56:H56)</f>
        <v>0</v>
      </c>
      <c r="I55" s="95"/>
    </row>
    <row r="56" spans="1:12" s="89" customFormat="1" ht="24.6" customHeight="1" x14ac:dyDescent="0.25">
      <c r="A56" s="90"/>
      <c r="B56" s="91"/>
      <c r="C56" s="93"/>
      <c r="D56" s="90"/>
      <c r="E56" s="92"/>
      <c r="F56" s="97"/>
      <c r="G56" s="98"/>
      <c r="H56" s="173"/>
      <c r="I56" s="147"/>
    </row>
    <row r="57" spans="1:12" s="102" customFormat="1" ht="31.5" customHeight="1" x14ac:dyDescent="0.25">
      <c r="A57" s="126"/>
      <c r="B57" s="100" t="s">
        <v>50</v>
      </c>
      <c r="C57" s="100"/>
      <c r="D57" s="100"/>
      <c r="E57" s="100"/>
      <c r="F57" s="100"/>
      <c r="G57" s="100"/>
      <c r="H57" s="174">
        <f>H49+H55</f>
        <v>0</v>
      </c>
      <c r="I57" s="101"/>
    </row>
    <row r="58" spans="1:12" ht="26.25" customHeight="1" x14ac:dyDescent="0.25">
      <c r="A58" s="127">
        <v>4</v>
      </c>
      <c r="B58" s="379" t="s">
        <v>51</v>
      </c>
      <c r="C58" s="379"/>
      <c r="D58" s="379"/>
      <c r="E58" s="379"/>
      <c r="F58" s="379"/>
      <c r="G58" s="379"/>
      <c r="H58" s="175"/>
      <c r="I58" s="51"/>
    </row>
    <row r="59" spans="1:12" s="104" customFormat="1" ht="49.5" x14ac:dyDescent="0.25">
      <c r="A59" s="103" t="s">
        <v>25</v>
      </c>
      <c r="B59" s="338" t="s">
        <v>52</v>
      </c>
      <c r="C59" s="339"/>
      <c r="D59" s="21" t="s">
        <v>29</v>
      </c>
      <c r="E59" s="21" t="s">
        <v>53</v>
      </c>
      <c r="F59" s="21" t="s">
        <v>44</v>
      </c>
      <c r="G59" s="21" t="s">
        <v>54</v>
      </c>
      <c r="H59" s="170" t="s">
        <v>45</v>
      </c>
      <c r="I59" s="21" t="s">
        <v>33</v>
      </c>
    </row>
    <row r="60" spans="1:12" ht="27" customHeight="1" x14ac:dyDescent="0.25">
      <c r="A60" s="105"/>
      <c r="B60" s="340"/>
      <c r="C60" s="341"/>
      <c r="D60" s="106"/>
      <c r="E60" s="105"/>
      <c r="F60" s="107"/>
      <c r="G60" s="108"/>
      <c r="H60" s="176"/>
      <c r="I60" s="109"/>
      <c r="L60" s="110"/>
    </row>
    <row r="61" spans="1:12" s="112" customFormat="1" ht="27.75" customHeight="1" x14ac:dyDescent="0.25">
      <c r="A61" s="126"/>
      <c r="B61" s="342" t="s">
        <v>34</v>
      </c>
      <c r="C61" s="343"/>
      <c r="D61" s="100"/>
      <c r="E61" s="100"/>
      <c r="F61" s="100"/>
      <c r="G61" s="100"/>
      <c r="H61" s="163">
        <f>SUM(H60)</f>
        <v>0</v>
      </c>
      <c r="I61" s="111"/>
      <c r="L61" s="113"/>
    </row>
    <row r="62" spans="1:12" s="115" customFormat="1" ht="27.75" customHeight="1" x14ac:dyDescent="0.25">
      <c r="A62" s="128">
        <v>5</v>
      </c>
      <c r="B62" s="344" t="s">
        <v>56</v>
      </c>
      <c r="C62" s="344"/>
      <c r="D62" s="344"/>
      <c r="E62" s="344"/>
      <c r="F62" s="344"/>
      <c r="G62" s="345"/>
      <c r="H62" s="164">
        <f>H61+H57+H40+H34</f>
        <v>0</v>
      </c>
      <c r="I62" s="114" t="s">
        <v>57</v>
      </c>
    </row>
    <row r="63" spans="1:12" s="117" customFormat="1" ht="17.25" x14ac:dyDescent="0.25">
      <c r="A63" s="129"/>
      <c r="B63" s="116" t="s">
        <v>78</v>
      </c>
      <c r="C63" s="346" t="s">
        <v>91</v>
      </c>
      <c r="D63" s="346"/>
      <c r="E63" s="346"/>
      <c r="F63" s="346"/>
      <c r="G63" s="346"/>
      <c r="H63" s="346"/>
      <c r="I63" s="346"/>
    </row>
    <row r="64" spans="1:12" s="41" customFormat="1" ht="17.25" hidden="1" x14ac:dyDescent="0.3">
      <c r="A64" s="39"/>
      <c r="B64" s="118"/>
      <c r="E64" s="119"/>
      <c r="F64" s="316" t="s">
        <v>75</v>
      </c>
      <c r="G64" s="316"/>
      <c r="H64" s="316"/>
      <c r="I64" s="316"/>
    </row>
    <row r="65" spans="1:9" hidden="1" x14ac:dyDescent="0.25">
      <c r="F65" s="316" t="s">
        <v>76</v>
      </c>
      <c r="G65" s="316"/>
      <c r="H65" s="316"/>
      <c r="I65" s="316"/>
    </row>
    <row r="66" spans="1:9" hidden="1" x14ac:dyDescent="0.25">
      <c r="F66" s="317"/>
      <c r="G66" s="317"/>
      <c r="H66" s="317"/>
      <c r="I66" s="317"/>
    </row>
    <row r="67" spans="1:9" hidden="1" x14ac:dyDescent="0.25"/>
    <row r="68" spans="1:9" hidden="1" x14ac:dyDescent="0.25"/>
    <row r="69" spans="1:9" hidden="1" x14ac:dyDescent="0.25"/>
    <row r="70" spans="1:9" hidden="1" x14ac:dyDescent="0.25"/>
    <row r="71" spans="1:9" hidden="1" x14ac:dyDescent="0.25"/>
    <row r="72" spans="1:9" hidden="1" x14ac:dyDescent="0.25">
      <c r="F72" s="318" t="s">
        <v>77</v>
      </c>
      <c r="G72" s="318"/>
      <c r="H72" s="318"/>
      <c r="I72" s="318"/>
    </row>
    <row r="73" spans="1:9" ht="63" customHeight="1" x14ac:dyDescent="0.25">
      <c r="A73" s="319" t="s">
        <v>100</v>
      </c>
      <c r="B73" s="319"/>
      <c r="C73" s="319"/>
      <c r="D73" s="319"/>
      <c r="E73" s="319"/>
      <c r="F73" s="319"/>
      <c r="G73" s="319"/>
      <c r="H73" s="319"/>
      <c r="I73" s="319"/>
    </row>
    <row r="74" spans="1:9" x14ac:dyDescent="0.25">
      <c r="A74" s="315" t="s">
        <v>102</v>
      </c>
      <c r="B74" s="315"/>
      <c r="C74" s="315"/>
      <c r="D74" s="315"/>
      <c r="E74" s="315"/>
      <c r="F74" s="315"/>
      <c r="G74" s="315"/>
      <c r="H74" s="315"/>
      <c r="I74" s="315"/>
    </row>
    <row r="75" spans="1:9" x14ac:dyDescent="0.25">
      <c r="A75" s="320" t="s">
        <v>107</v>
      </c>
      <c r="B75" s="320"/>
      <c r="C75" s="320"/>
      <c r="D75" s="321"/>
      <c r="E75" s="322" t="s">
        <v>108</v>
      </c>
      <c r="F75" s="323"/>
      <c r="G75" s="323"/>
      <c r="H75" s="323"/>
      <c r="I75" s="323"/>
    </row>
    <row r="76" spans="1:9" x14ac:dyDescent="0.25">
      <c r="A76" s="320"/>
      <c r="B76" s="320"/>
      <c r="C76" s="320"/>
      <c r="D76" s="321"/>
      <c r="E76" s="322"/>
      <c r="F76" s="323"/>
      <c r="G76" s="323"/>
      <c r="H76" s="323"/>
      <c r="I76" s="323"/>
    </row>
    <row r="77" spans="1:9" x14ac:dyDescent="0.25">
      <c r="A77" s="320"/>
      <c r="B77" s="320"/>
      <c r="C77" s="320"/>
      <c r="D77" s="321"/>
      <c r="E77" s="38"/>
      <c r="I77" s="20"/>
    </row>
    <row r="78" spans="1:9" x14ac:dyDescent="0.25">
      <c r="A78" s="315" t="s">
        <v>101</v>
      </c>
      <c r="B78" s="315"/>
      <c r="C78" s="315"/>
      <c r="D78" s="315"/>
      <c r="E78" s="315"/>
      <c r="F78" s="315"/>
      <c r="G78" s="315"/>
      <c r="H78" s="315"/>
      <c r="I78" s="315"/>
    </row>
  </sheetData>
  <mergeCells count="57">
    <mergeCell ref="E1:I1"/>
    <mergeCell ref="E2:I2"/>
    <mergeCell ref="E4:I4"/>
    <mergeCell ref="A1:D1"/>
    <mergeCell ref="A2:D2"/>
    <mergeCell ref="A4:D4"/>
    <mergeCell ref="A5:I5"/>
    <mergeCell ref="A6:I6"/>
    <mergeCell ref="A7:I7"/>
    <mergeCell ref="B8:I8"/>
    <mergeCell ref="B9:E9"/>
    <mergeCell ref="F9:I9"/>
    <mergeCell ref="B17:I17"/>
    <mergeCell ref="D19:E19"/>
    <mergeCell ref="C24:I24"/>
    <mergeCell ref="F13:I13"/>
    <mergeCell ref="C10:I10"/>
    <mergeCell ref="C11:I11"/>
    <mergeCell ref="C14:I14"/>
    <mergeCell ref="C15:I15"/>
    <mergeCell ref="B38:C38"/>
    <mergeCell ref="C25:I25"/>
    <mergeCell ref="B26:F26"/>
    <mergeCell ref="B27:G27"/>
    <mergeCell ref="B28:I28"/>
    <mergeCell ref="B61:C61"/>
    <mergeCell ref="I50:I54"/>
    <mergeCell ref="B29:I29"/>
    <mergeCell ref="A30:A31"/>
    <mergeCell ref="B30:I30"/>
    <mergeCell ref="B31:C31"/>
    <mergeCell ref="B32:C32"/>
    <mergeCell ref="B33:C33"/>
    <mergeCell ref="B40:C40"/>
    <mergeCell ref="A42:A44"/>
    <mergeCell ref="B42:G42"/>
    <mergeCell ref="B43:G43"/>
    <mergeCell ref="B44:G44"/>
    <mergeCell ref="B34:C34"/>
    <mergeCell ref="B36:I36"/>
    <mergeCell ref="B37:C37"/>
    <mergeCell ref="B62:G62"/>
    <mergeCell ref="B39:C39"/>
    <mergeCell ref="A78:I78"/>
    <mergeCell ref="B46:G46"/>
    <mergeCell ref="F64:I64"/>
    <mergeCell ref="F65:I65"/>
    <mergeCell ref="F66:I66"/>
    <mergeCell ref="F72:I72"/>
    <mergeCell ref="C63:I63"/>
    <mergeCell ref="A73:I73"/>
    <mergeCell ref="A74:I74"/>
    <mergeCell ref="A75:D77"/>
    <mergeCell ref="E75:I76"/>
    <mergeCell ref="B58:G58"/>
    <mergeCell ref="B59:C59"/>
    <mergeCell ref="B60:C60"/>
  </mergeCells>
  <pageMargins left="0.11811023622047245" right="0.11811023622047245" top="0.11811023622047245" bottom="0.15748031496062992" header="0.11811023622047245" footer="0.15748031496062992"/>
  <pageSetup paperSize="9" scale="80" orientation="portrait"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76"/>
  <sheetViews>
    <sheetView topLeftCell="A22" workbookViewId="0">
      <selection activeCell="C25" sqref="C25:I25"/>
    </sheetView>
  </sheetViews>
  <sheetFormatPr defaultColWidth="9.140625" defaultRowHeight="16.5" x14ac:dyDescent="0.25"/>
  <cols>
    <col min="1" max="1" width="4.7109375" style="68" customWidth="1"/>
    <col min="2" max="2" width="27.42578125" style="20" customWidth="1"/>
    <col min="3" max="3" width="8.42578125" style="20" customWidth="1"/>
    <col min="4" max="4" width="25.140625" style="20" customWidth="1"/>
    <col min="5" max="5" width="10.28515625" style="23" customWidth="1"/>
    <col min="6" max="6" width="12" style="20" customWidth="1"/>
    <col min="7" max="7" width="9.42578125" style="20" customWidth="1"/>
    <col min="8" max="8" width="13" style="20" customWidth="1"/>
    <col min="9" max="9" width="15.42578125" style="120" customWidth="1"/>
    <col min="10" max="10" width="12.28515625" style="20" customWidth="1"/>
    <col min="11" max="11" width="9.140625" style="20" customWidth="1"/>
    <col min="12" max="12" width="11.42578125" style="20" customWidth="1"/>
    <col min="13" max="19" width="9.140625" style="20" customWidth="1"/>
    <col min="20" max="16384" width="9.140625" style="20"/>
  </cols>
  <sheetData>
    <row r="1" spans="1:17" s="36" customFormat="1" x14ac:dyDescent="0.25">
      <c r="A1" s="368" t="s">
        <v>98</v>
      </c>
      <c r="B1" s="368"/>
      <c r="C1" s="368"/>
      <c r="D1" s="368"/>
      <c r="E1" s="368" t="s">
        <v>0</v>
      </c>
      <c r="F1" s="368"/>
      <c r="G1" s="368"/>
      <c r="H1" s="368"/>
      <c r="I1" s="368"/>
    </row>
    <row r="2" spans="1:17" s="36" customFormat="1" x14ac:dyDescent="0.25">
      <c r="A2" s="369" t="s">
        <v>99</v>
      </c>
      <c r="B2" s="369"/>
      <c r="C2" s="369"/>
      <c r="D2" s="369"/>
      <c r="E2" s="369" t="s">
        <v>1</v>
      </c>
      <c r="F2" s="368"/>
      <c r="G2" s="368"/>
      <c r="H2" s="368"/>
      <c r="I2" s="368"/>
    </row>
    <row r="3" spans="1:17" s="36" customFormat="1" ht="15.75" customHeight="1" x14ac:dyDescent="0.25">
      <c r="A3" s="39"/>
      <c r="C3" s="39"/>
      <c r="D3" s="39"/>
      <c r="E3" s="39"/>
      <c r="F3" s="39"/>
      <c r="G3" s="39"/>
      <c r="H3" s="39"/>
      <c r="I3" s="37"/>
    </row>
    <row r="4" spans="1:17" s="36" customFormat="1" ht="25.5" customHeight="1" x14ac:dyDescent="0.25">
      <c r="A4" s="369" t="s">
        <v>89</v>
      </c>
      <c r="B4" s="369"/>
      <c r="C4" s="369"/>
      <c r="D4" s="369"/>
      <c r="E4" s="370" t="s">
        <v>185</v>
      </c>
      <c r="F4" s="370"/>
      <c r="G4" s="370"/>
      <c r="H4" s="370"/>
      <c r="I4" s="370"/>
    </row>
    <row r="5" spans="1:17" s="40" customFormat="1" ht="18.75" customHeight="1" x14ac:dyDescent="0.25">
      <c r="A5" s="371" t="s">
        <v>85</v>
      </c>
      <c r="B5" s="371"/>
      <c r="C5" s="371"/>
      <c r="D5" s="371"/>
      <c r="E5" s="371"/>
      <c r="F5" s="371"/>
      <c r="G5" s="371"/>
      <c r="H5" s="371"/>
      <c r="I5" s="371"/>
    </row>
    <row r="6" spans="1:17" s="40" customFormat="1" ht="36.75" customHeight="1" x14ac:dyDescent="0.25">
      <c r="A6" s="372" t="s">
        <v>86</v>
      </c>
      <c r="B6" s="372"/>
      <c r="C6" s="372"/>
      <c r="D6" s="372"/>
      <c r="E6" s="372"/>
      <c r="F6" s="372"/>
      <c r="G6" s="372"/>
      <c r="H6" s="372"/>
      <c r="I6" s="372"/>
      <c r="Q6" s="41"/>
    </row>
    <row r="7" spans="1:17" s="40" customFormat="1" ht="32.25" customHeight="1" x14ac:dyDescent="0.25">
      <c r="A7" s="373" t="s">
        <v>166</v>
      </c>
      <c r="B7" s="373"/>
      <c r="C7" s="373"/>
      <c r="D7" s="373"/>
      <c r="E7" s="373"/>
      <c r="F7" s="373"/>
      <c r="G7" s="373"/>
      <c r="H7" s="373"/>
      <c r="I7" s="373"/>
    </row>
    <row r="8" spans="1:17" s="42" customFormat="1" ht="19.899999999999999" customHeight="1" x14ac:dyDescent="0.25">
      <c r="A8" s="121" t="s">
        <v>2</v>
      </c>
      <c r="B8" s="362" t="s">
        <v>3</v>
      </c>
      <c r="C8" s="362"/>
      <c r="D8" s="362"/>
      <c r="E8" s="362"/>
      <c r="F8" s="362"/>
      <c r="G8" s="362"/>
      <c r="H8" s="362"/>
      <c r="I8" s="362"/>
    </row>
    <row r="9" spans="1:17" s="42" customFormat="1" ht="19.899999999999999" customHeight="1" x14ac:dyDescent="0.25">
      <c r="A9" s="121" t="s">
        <v>4</v>
      </c>
      <c r="B9" s="374" t="s">
        <v>5</v>
      </c>
      <c r="C9" s="374"/>
      <c r="D9" s="374"/>
      <c r="E9" s="374"/>
      <c r="F9" s="375" t="s">
        <v>294</v>
      </c>
      <c r="G9" s="375"/>
      <c r="H9" s="375"/>
      <c r="I9" s="375"/>
    </row>
    <row r="10" spans="1:17" s="42" customFormat="1" ht="19.899999999999999" customHeight="1" x14ac:dyDescent="0.25">
      <c r="A10" s="122"/>
      <c r="B10" s="24" t="s">
        <v>6</v>
      </c>
      <c r="C10" s="365" t="s">
        <v>251</v>
      </c>
      <c r="D10" s="365"/>
      <c r="E10" s="365"/>
      <c r="F10" s="365"/>
      <c r="G10" s="365"/>
      <c r="H10" s="365"/>
      <c r="I10" s="365"/>
    </row>
    <row r="11" spans="1:17" s="42" customFormat="1" ht="19.899999999999999" customHeight="1" x14ac:dyDescent="0.25">
      <c r="A11" s="122"/>
      <c r="B11" s="24" t="s">
        <v>7</v>
      </c>
      <c r="C11" s="365" t="s">
        <v>407</v>
      </c>
      <c r="D11" s="365"/>
      <c r="E11" s="365"/>
      <c r="F11" s="365"/>
      <c r="G11" s="365"/>
      <c r="H11" s="365"/>
      <c r="I11" s="365"/>
    </row>
    <row r="12" spans="1:17" s="42" customFormat="1" ht="19.899999999999999" customHeight="1" x14ac:dyDescent="0.25">
      <c r="A12" s="122"/>
      <c r="B12" s="24" t="s">
        <v>11</v>
      </c>
      <c r="C12" s="361" t="s">
        <v>295</v>
      </c>
      <c r="D12" s="361"/>
      <c r="E12" s="361"/>
      <c r="F12" s="43"/>
      <c r="G12" s="43"/>
      <c r="H12" s="43"/>
      <c r="I12" s="43"/>
    </row>
    <row r="13" spans="1:17" s="42" customFormat="1" ht="19.899999999999999" customHeight="1" x14ac:dyDescent="0.25">
      <c r="A13" s="121" t="s">
        <v>9</v>
      </c>
      <c r="B13" s="44" t="s">
        <v>10</v>
      </c>
      <c r="E13" s="43"/>
      <c r="F13" s="362" t="str">
        <f>F9</f>
        <v>Lê Văn Tâm - Bùi Thị Lan</v>
      </c>
      <c r="G13" s="362"/>
      <c r="H13" s="362"/>
      <c r="I13" s="362"/>
      <c r="J13" s="146"/>
    </row>
    <row r="14" spans="1:17" s="42" customFormat="1" ht="19.899999999999999" customHeight="1" x14ac:dyDescent="0.25">
      <c r="A14" s="122"/>
      <c r="B14" s="24" t="s">
        <v>6</v>
      </c>
      <c r="C14" s="365" t="str">
        <f>+C10</f>
        <v>Thôn Phố Gốt - Xã Phú Nghĩa - TP Hà Nội</v>
      </c>
      <c r="D14" s="365"/>
      <c r="E14" s="365"/>
      <c r="F14" s="365"/>
      <c r="G14" s="365"/>
      <c r="H14" s="365"/>
      <c r="I14" s="365"/>
    </row>
    <row r="15" spans="1:17" s="42" customFormat="1" ht="19.899999999999999" customHeight="1" x14ac:dyDescent="0.25">
      <c r="A15" s="122"/>
      <c r="B15" s="24" t="s">
        <v>7</v>
      </c>
      <c r="C15" s="365" t="str">
        <f>C11</f>
        <v>Thôn Đông - xã Phú Nghĩa - TP Hà Nội</v>
      </c>
      <c r="D15" s="365"/>
      <c r="E15" s="365"/>
      <c r="F15" s="365"/>
      <c r="G15" s="365"/>
      <c r="H15" s="365"/>
      <c r="I15" s="365"/>
    </row>
    <row r="16" spans="1:17" s="42" customFormat="1" ht="19.899999999999999" customHeight="1" x14ac:dyDescent="0.25">
      <c r="A16" s="122"/>
      <c r="B16" s="24" t="s">
        <v>11</v>
      </c>
      <c r="C16" s="361" t="str">
        <f>+C12</f>
        <v>001059033000</v>
      </c>
      <c r="D16" s="361"/>
      <c r="E16" s="361"/>
      <c r="F16" s="43"/>
      <c r="G16" s="43"/>
      <c r="H16" s="43"/>
      <c r="I16" s="43"/>
    </row>
    <row r="17" spans="1:19" s="42" customFormat="1" ht="19.899999999999999" customHeight="1" x14ac:dyDescent="0.25">
      <c r="A17" s="121" t="s">
        <v>12</v>
      </c>
      <c r="B17" s="362" t="s">
        <v>13</v>
      </c>
      <c r="C17" s="362"/>
      <c r="D17" s="362"/>
      <c r="E17" s="362"/>
      <c r="F17" s="362"/>
      <c r="G17" s="362"/>
      <c r="H17" s="362"/>
      <c r="I17" s="362"/>
    </row>
    <row r="18" spans="1:19" s="42" customFormat="1" ht="19.899999999999999" customHeight="1" x14ac:dyDescent="0.25">
      <c r="A18" s="121" t="s">
        <v>4</v>
      </c>
      <c r="B18" s="46" t="s">
        <v>14</v>
      </c>
      <c r="E18" s="43"/>
    </row>
    <row r="19" spans="1:19" s="51" customFormat="1" ht="19.899999999999999" customHeight="1" x14ac:dyDescent="0.25">
      <c r="A19" s="123"/>
      <c r="B19" s="47" t="s">
        <v>15</v>
      </c>
      <c r="C19" s="144">
        <v>64</v>
      </c>
      <c r="D19" s="363" t="s">
        <v>16</v>
      </c>
      <c r="E19" s="363"/>
      <c r="F19" s="49" t="s">
        <v>113</v>
      </c>
      <c r="G19" s="50"/>
      <c r="I19" s="50"/>
    </row>
    <row r="20" spans="1:19" s="51" customFormat="1" ht="19.899999999999999" customHeight="1" x14ac:dyDescent="0.25">
      <c r="A20" s="123"/>
      <c r="B20" s="47" t="s">
        <v>17</v>
      </c>
      <c r="C20" s="52">
        <v>110.5</v>
      </c>
      <c r="D20" s="50" t="s">
        <v>105</v>
      </c>
      <c r="E20" s="53"/>
      <c r="F20" s="54"/>
      <c r="H20" s="55"/>
      <c r="I20" s="50"/>
    </row>
    <row r="21" spans="1:19" s="51" customFormat="1" ht="19.899999999999999" customHeight="1" x14ac:dyDescent="0.25">
      <c r="A21" s="123"/>
      <c r="B21" s="56" t="s">
        <v>18</v>
      </c>
      <c r="C21" s="57"/>
      <c r="D21" s="50"/>
      <c r="E21" s="53"/>
      <c r="F21" s="50"/>
      <c r="H21" s="55"/>
      <c r="I21" s="50"/>
    </row>
    <row r="22" spans="1:19" s="51" customFormat="1" ht="19.899999999999999" customHeight="1" x14ac:dyDescent="0.25">
      <c r="A22" s="123"/>
      <c r="B22" s="47" t="s">
        <v>19</v>
      </c>
      <c r="C22" s="52">
        <v>37.1</v>
      </c>
      <c r="D22" s="50" t="s">
        <v>105</v>
      </c>
      <c r="E22" s="53"/>
      <c r="F22" s="50"/>
      <c r="H22" s="55"/>
      <c r="I22" s="50"/>
    </row>
    <row r="23" spans="1:19" s="51" customFormat="1" ht="19.899999999999999" customHeight="1" x14ac:dyDescent="0.25">
      <c r="A23" s="123"/>
      <c r="B23" s="47" t="s">
        <v>20</v>
      </c>
      <c r="C23" s="57">
        <f>C20-C22</f>
        <v>73.400000000000006</v>
      </c>
      <c r="D23" s="50" t="s">
        <v>105</v>
      </c>
      <c r="E23" s="53"/>
      <c r="F23" s="50"/>
      <c r="H23" s="55"/>
      <c r="I23" s="50"/>
    </row>
    <row r="24" spans="1:19" s="42" customFormat="1" ht="23.25" customHeight="1" x14ac:dyDescent="0.25">
      <c r="A24" s="122"/>
      <c r="B24" s="24" t="s">
        <v>21</v>
      </c>
      <c r="C24" s="362" t="s">
        <v>408</v>
      </c>
      <c r="D24" s="362"/>
      <c r="E24" s="362"/>
      <c r="F24" s="362"/>
      <c r="G24" s="362"/>
      <c r="H24" s="362"/>
      <c r="I24" s="362"/>
    </row>
    <row r="25" spans="1:19" s="36" customFormat="1" ht="186.75" customHeight="1" x14ac:dyDescent="0.25">
      <c r="A25" s="39" t="s">
        <v>9</v>
      </c>
      <c r="B25" s="58" t="s">
        <v>73</v>
      </c>
      <c r="C25" s="366" t="s">
        <v>576</v>
      </c>
      <c r="D25" s="367"/>
      <c r="E25" s="367"/>
      <c r="F25" s="367"/>
      <c r="G25" s="367"/>
      <c r="H25" s="367"/>
      <c r="I25" s="367"/>
      <c r="J25" s="133"/>
      <c r="K25" s="59"/>
      <c r="L25" s="59"/>
      <c r="M25" s="59"/>
      <c r="N25" s="59"/>
      <c r="O25" s="59"/>
      <c r="P25" s="59"/>
      <c r="Q25" s="59"/>
      <c r="R25" s="59"/>
      <c r="S25" s="59"/>
    </row>
    <row r="26" spans="1:19" s="36" customFormat="1" ht="19.5" customHeight="1" x14ac:dyDescent="0.25">
      <c r="A26" s="39" t="s">
        <v>22</v>
      </c>
      <c r="B26" s="364" t="s">
        <v>82</v>
      </c>
      <c r="C26" s="364"/>
      <c r="D26" s="364"/>
      <c r="E26" s="364"/>
      <c r="F26" s="364"/>
      <c r="G26" s="60"/>
      <c r="H26" s="149">
        <v>0</v>
      </c>
      <c r="I26" s="60" t="s">
        <v>55</v>
      </c>
      <c r="J26" s="142"/>
      <c r="K26" s="59"/>
      <c r="L26" s="59"/>
      <c r="M26" s="59"/>
      <c r="N26" s="59"/>
      <c r="O26" s="59"/>
      <c r="P26" s="59"/>
      <c r="Q26" s="59"/>
      <c r="R26" s="59"/>
      <c r="S26" s="59"/>
    </row>
    <row r="27" spans="1:19" s="36" customFormat="1" ht="18" customHeight="1" x14ac:dyDescent="0.25">
      <c r="A27" s="39" t="s">
        <v>23</v>
      </c>
      <c r="B27" s="364" t="s">
        <v>65</v>
      </c>
      <c r="C27" s="364"/>
      <c r="D27" s="364"/>
      <c r="E27" s="364"/>
      <c r="F27" s="364"/>
      <c r="G27" s="364"/>
      <c r="H27" s="148">
        <v>0</v>
      </c>
      <c r="I27" s="60" t="s">
        <v>84</v>
      </c>
      <c r="J27" s="59"/>
      <c r="K27" s="59"/>
      <c r="L27" s="59"/>
      <c r="M27" s="59"/>
      <c r="N27" s="59"/>
      <c r="O27" s="59"/>
      <c r="P27" s="59"/>
      <c r="Q27" s="59"/>
      <c r="R27" s="59"/>
      <c r="S27" s="59"/>
    </row>
    <row r="28" spans="1:19" s="41" customFormat="1" x14ac:dyDescent="0.25">
      <c r="A28" s="39" t="s">
        <v>88</v>
      </c>
      <c r="B28" s="364" t="s">
        <v>87</v>
      </c>
      <c r="C28" s="364"/>
      <c r="D28" s="364"/>
      <c r="E28" s="364"/>
      <c r="F28" s="364"/>
      <c r="G28" s="364"/>
      <c r="H28" s="364"/>
      <c r="I28" s="364"/>
    </row>
    <row r="29" spans="1:19" s="40" customFormat="1" x14ac:dyDescent="0.25">
      <c r="A29" s="39" t="s">
        <v>4</v>
      </c>
      <c r="B29" s="360" t="s">
        <v>24</v>
      </c>
      <c r="C29" s="360"/>
      <c r="D29" s="360"/>
      <c r="E29" s="360"/>
      <c r="F29" s="360"/>
      <c r="G29" s="360"/>
      <c r="H29" s="360"/>
      <c r="I29" s="360"/>
      <c r="J29" s="41"/>
      <c r="K29" s="41"/>
      <c r="L29" s="41"/>
      <c r="M29" s="41"/>
      <c r="N29" s="41"/>
      <c r="O29" s="41"/>
      <c r="P29" s="41"/>
      <c r="Q29" s="41"/>
      <c r="R29" s="41"/>
      <c r="S29" s="41"/>
    </row>
    <row r="30" spans="1:19" s="24" customFormat="1" ht="32.25" customHeight="1" x14ac:dyDescent="0.25">
      <c r="A30" s="351" t="s">
        <v>25</v>
      </c>
      <c r="B30" s="353" t="s">
        <v>26</v>
      </c>
      <c r="C30" s="354"/>
      <c r="D30" s="354"/>
      <c r="E30" s="354"/>
      <c r="F30" s="354"/>
      <c r="G30" s="354"/>
      <c r="H30" s="354"/>
      <c r="I30" s="355"/>
    </row>
    <row r="31" spans="1:19" s="25" customFormat="1" ht="49.5" x14ac:dyDescent="0.25">
      <c r="A31" s="352"/>
      <c r="B31" s="353" t="s">
        <v>27</v>
      </c>
      <c r="C31" s="355"/>
      <c r="D31" s="21" t="s">
        <v>28</v>
      </c>
      <c r="E31" s="22" t="s">
        <v>29</v>
      </c>
      <c r="F31" s="22" t="s">
        <v>30</v>
      </c>
      <c r="G31" s="21" t="s">
        <v>31</v>
      </c>
      <c r="H31" s="22" t="s">
        <v>104</v>
      </c>
      <c r="I31" s="22" t="s">
        <v>33</v>
      </c>
    </row>
    <row r="32" spans="1:19" s="62" customFormat="1" ht="18.75" customHeight="1" x14ac:dyDescent="0.25">
      <c r="A32" s="61">
        <v>1</v>
      </c>
      <c r="B32" s="356">
        <v>2</v>
      </c>
      <c r="C32" s="357"/>
      <c r="D32" s="61">
        <v>3</v>
      </c>
      <c r="E32" s="61">
        <v>4</v>
      </c>
      <c r="F32" s="61">
        <v>5</v>
      </c>
      <c r="G32" s="61">
        <v>6</v>
      </c>
      <c r="H32" s="61">
        <v>7</v>
      </c>
      <c r="I32" s="61">
        <v>8</v>
      </c>
    </row>
    <row r="33" spans="1:9" s="68" customFormat="1" ht="43.5" customHeight="1" x14ac:dyDescent="0.25">
      <c r="A33" s="63">
        <v>1</v>
      </c>
      <c r="B33" s="358" t="s">
        <v>563</v>
      </c>
      <c r="C33" s="359"/>
      <c r="D33" s="64" t="s">
        <v>106</v>
      </c>
      <c r="E33" s="65">
        <f>C22</f>
        <v>37.1</v>
      </c>
      <c r="F33" s="63"/>
      <c r="G33" s="66"/>
      <c r="H33" s="166">
        <f>E33*F33*G33</f>
        <v>0</v>
      </c>
      <c r="I33" s="67"/>
    </row>
    <row r="34" spans="1:9" s="71" customFormat="1" ht="30.75" customHeight="1" x14ac:dyDescent="0.25">
      <c r="A34" s="69"/>
      <c r="B34" s="349" t="s">
        <v>34</v>
      </c>
      <c r="C34" s="350"/>
      <c r="D34" s="69"/>
      <c r="E34" s="69"/>
      <c r="F34" s="69"/>
      <c r="G34" s="69"/>
      <c r="H34" s="169">
        <f>SUM(H33:H33)</f>
        <v>0</v>
      </c>
      <c r="I34" s="69"/>
    </row>
    <row r="35" spans="1:9" ht="9" customHeight="1" x14ac:dyDescent="0.25">
      <c r="A35" s="77"/>
      <c r="B35" s="72"/>
      <c r="C35" s="72"/>
      <c r="D35" s="73"/>
      <c r="E35" s="73"/>
      <c r="F35" s="73"/>
      <c r="G35" s="73"/>
      <c r="H35" s="73"/>
      <c r="I35" s="73"/>
    </row>
    <row r="36" spans="1:9" ht="26.25" customHeight="1" x14ac:dyDescent="0.25">
      <c r="A36" s="75" t="s">
        <v>9</v>
      </c>
      <c r="B36" s="360" t="s">
        <v>35</v>
      </c>
      <c r="C36" s="360"/>
      <c r="D36" s="360"/>
      <c r="E36" s="360"/>
      <c r="F36" s="360"/>
      <c r="G36" s="360"/>
      <c r="H36" s="360"/>
      <c r="I36" s="360"/>
    </row>
    <row r="37" spans="1:9" s="23" customFormat="1" ht="49.5" x14ac:dyDescent="0.25">
      <c r="A37" s="29" t="s">
        <v>25</v>
      </c>
      <c r="B37" s="353" t="s">
        <v>27</v>
      </c>
      <c r="C37" s="355"/>
      <c r="D37" s="21" t="s">
        <v>28</v>
      </c>
      <c r="E37" s="22" t="s">
        <v>29</v>
      </c>
      <c r="F37" s="22" t="s">
        <v>30</v>
      </c>
      <c r="G37" s="21" t="s">
        <v>31</v>
      </c>
      <c r="H37" s="22" t="s">
        <v>32</v>
      </c>
      <c r="I37" s="22" t="s">
        <v>33</v>
      </c>
    </row>
    <row r="38" spans="1:9" s="62" customFormat="1" ht="18" customHeight="1" x14ac:dyDescent="0.25">
      <c r="A38" s="61">
        <v>1</v>
      </c>
      <c r="B38" s="356">
        <v>2</v>
      </c>
      <c r="C38" s="357"/>
      <c r="D38" s="61">
        <v>3</v>
      </c>
      <c r="E38" s="61">
        <v>4</v>
      </c>
      <c r="F38" s="61">
        <v>5</v>
      </c>
      <c r="G38" s="61">
        <v>6</v>
      </c>
      <c r="H38" s="61">
        <v>7</v>
      </c>
      <c r="I38" s="61">
        <v>8</v>
      </c>
    </row>
    <row r="39" spans="1:9" ht="36" customHeight="1" x14ac:dyDescent="0.25">
      <c r="A39" s="26">
        <v>1</v>
      </c>
      <c r="B39" s="353"/>
      <c r="C39" s="355"/>
      <c r="D39" s="27"/>
      <c r="E39" s="22"/>
      <c r="F39" s="27"/>
      <c r="G39" s="27"/>
      <c r="H39" s="27"/>
      <c r="I39" s="26" t="s">
        <v>36</v>
      </c>
    </row>
    <row r="40" spans="1:9" s="71" customFormat="1" ht="25.5" customHeight="1" x14ac:dyDescent="0.25">
      <c r="A40" s="69"/>
      <c r="B40" s="349" t="s">
        <v>34</v>
      </c>
      <c r="C40" s="350"/>
      <c r="D40" s="74"/>
      <c r="E40" s="69"/>
      <c r="F40" s="74"/>
      <c r="G40" s="74"/>
      <c r="H40" s="74"/>
      <c r="I40" s="69"/>
    </row>
    <row r="41" spans="1:9" x14ac:dyDescent="0.25">
      <c r="A41" s="124"/>
      <c r="B41" s="75"/>
      <c r="C41" s="75"/>
      <c r="D41" s="76"/>
      <c r="E41" s="75"/>
      <c r="F41" s="76"/>
      <c r="G41" s="76"/>
      <c r="H41" s="76"/>
      <c r="I41" s="75"/>
    </row>
    <row r="42" spans="1:9" x14ac:dyDescent="0.25">
      <c r="A42" s="324"/>
      <c r="B42" s="327" t="s">
        <v>37</v>
      </c>
      <c r="C42" s="328"/>
      <c r="D42" s="328"/>
      <c r="E42" s="328"/>
      <c r="F42" s="328"/>
      <c r="G42" s="329"/>
      <c r="H42" s="27"/>
      <c r="I42" s="26" t="s">
        <v>74</v>
      </c>
    </row>
    <row r="43" spans="1:9" x14ac:dyDescent="0.25">
      <c r="A43" s="325"/>
      <c r="B43" s="330" t="s">
        <v>38</v>
      </c>
      <c r="C43" s="331"/>
      <c r="D43" s="331"/>
      <c r="E43" s="331"/>
      <c r="F43" s="331"/>
      <c r="G43" s="332"/>
      <c r="H43" s="27"/>
      <c r="I43" s="26" t="s">
        <v>74</v>
      </c>
    </row>
    <row r="44" spans="1:9" x14ac:dyDescent="0.25">
      <c r="A44" s="326"/>
      <c r="B44" s="333" t="s">
        <v>39</v>
      </c>
      <c r="C44" s="334"/>
      <c r="D44" s="334"/>
      <c r="E44" s="334"/>
      <c r="F44" s="334"/>
      <c r="G44" s="335"/>
      <c r="H44" s="27"/>
      <c r="I44" s="26" t="s">
        <v>74</v>
      </c>
    </row>
    <row r="45" spans="1:9" ht="9" customHeight="1" x14ac:dyDescent="0.25">
      <c r="A45" s="77"/>
      <c r="B45" s="72"/>
      <c r="C45" s="72"/>
      <c r="D45" s="72"/>
      <c r="E45" s="78"/>
      <c r="F45" s="72"/>
      <c r="G45" s="72"/>
      <c r="H45" s="79"/>
      <c r="I45" s="79"/>
    </row>
    <row r="46" spans="1:9" ht="21" customHeight="1" x14ac:dyDescent="0.25">
      <c r="A46" s="125" t="s">
        <v>22</v>
      </c>
      <c r="B46" s="336" t="s">
        <v>40</v>
      </c>
      <c r="C46" s="336"/>
      <c r="D46" s="336"/>
      <c r="E46" s="336"/>
      <c r="F46" s="336"/>
      <c r="G46" s="336"/>
      <c r="H46" s="80"/>
      <c r="I46" s="81"/>
    </row>
    <row r="47" spans="1:9" s="30" customFormat="1" ht="49.5" x14ac:dyDescent="0.25">
      <c r="A47" s="21" t="s">
        <v>25</v>
      </c>
      <c r="B47" s="21" t="s">
        <v>41</v>
      </c>
      <c r="C47" s="21" t="s">
        <v>28</v>
      </c>
      <c r="D47" s="21" t="s">
        <v>42</v>
      </c>
      <c r="E47" s="21" t="s">
        <v>43</v>
      </c>
      <c r="F47" s="21" t="s">
        <v>44</v>
      </c>
      <c r="G47" s="21" t="s">
        <v>31</v>
      </c>
      <c r="H47" s="21" t="s">
        <v>45</v>
      </c>
      <c r="I47" s="21" t="s">
        <v>33</v>
      </c>
    </row>
    <row r="48" spans="1:9" s="83" customFormat="1" ht="18" customHeight="1" x14ac:dyDescent="0.25">
      <c r="A48" s="82">
        <v>1</v>
      </c>
      <c r="B48" s="82">
        <v>2</v>
      </c>
      <c r="C48" s="82">
        <v>3</v>
      </c>
      <c r="D48" s="82">
        <v>4</v>
      </c>
      <c r="E48" s="82">
        <v>5</v>
      </c>
      <c r="F48" s="82">
        <v>6</v>
      </c>
      <c r="G48" s="82">
        <v>7</v>
      </c>
      <c r="H48" s="82">
        <v>8</v>
      </c>
      <c r="I48" s="82">
        <v>9</v>
      </c>
    </row>
    <row r="49" spans="1:12" s="89" customFormat="1" ht="30" customHeight="1" x14ac:dyDescent="0.25">
      <c r="A49" s="21" t="s">
        <v>46</v>
      </c>
      <c r="B49" s="84" t="s">
        <v>47</v>
      </c>
      <c r="C49" s="85"/>
      <c r="D49" s="85"/>
      <c r="E49" s="86"/>
      <c r="F49" s="85"/>
      <c r="G49" s="85"/>
      <c r="H49" s="157">
        <f>SUM(H50:H54)</f>
        <v>0</v>
      </c>
      <c r="I49" s="88"/>
    </row>
    <row r="50" spans="1:12" s="89" customFormat="1" ht="56.45" customHeight="1" x14ac:dyDescent="0.25">
      <c r="A50" s="90">
        <v>1</v>
      </c>
      <c r="B50" s="91" t="s">
        <v>409</v>
      </c>
      <c r="C50" s="64" t="s">
        <v>106</v>
      </c>
      <c r="D50" s="90" t="s">
        <v>296</v>
      </c>
      <c r="E50" s="245">
        <v>53.59</v>
      </c>
      <c r="F50" s="200"/>
      <c r="G50" s="200"/>
      <c r="H50" s="183"/>
      <c r="I50" s="88"/>
    </row>
    <row r="51" spans="1:12" s="89" customFormat="1" ht="37.9" customHeight="1" x14ac:dyDescent="0.25">
      <c r="A51" s="90"/>
      <c r="B51" s="132" t="s">
        <v>109</v>
      </c>
      <c r="C51" s="64" t="s">
        <v>106</v>
      </c>
      <c r="D51" s="90" t="s">
        <v>297</v>
      </c>
      <c r="E51" s="92">
        <f>(7.87+8.15)/2*4.6</f>
        <v>36.845999999999997</v>
      </c>
      <c r="F51" s="200"/>
      <c r="G51" s="200"/>
      <c r="H51" s="183"/>
      <c r="I51" s="88"/>
    </row>
    <row r="52" spans="1:12" s="89" customFormat="1" ht="37.9" customHeight="1" x14ac:dyDescent="0.25">
      <c r="A52" s="244"/>
      <c r="B52" s="132" t="s">
        <v>120</v>
      </c>
      <c r="C52" s="64" t="s">
        <v>106</v>
      </c>
      <c r="D52" s="244"/>
      <c r="E52" s="92">
        <f>E50-E51</f>
        <v>16.744000000000007</v>
      </c>
      <c r="F52" s="200"/>
      <c r="G52" s="200"/>
      <c r="H52" s="183"/>
      <c r="I52" s="88"/>
    </row>
    <row r="53" spans="1:12" s="89" customFormat="1" ht="39.6" customHeight="1" x14ac:dyDescent="0.25">
      <c r="A53" s="90">
        <v>2</v>
      </c>
      <c r="B53" s="91" t="s">
        <v>291</v>
      </c>
      <c r="C53" s="64" t="s">
        <v>106</v>
      </c>
      <c r="D53" s="90" t="s">
        <v>298</v>
      </c>
      <c r="E53" s="231">
        <f>4.6*5</f>
        <v>23</v>
      </c>
      <c r="F53" s="200"/>
      <c r="G53" s="200"/>
      <c r="H53" s="183"/>
      <c r="I53" s="88"/>
      <c r="K53" s="236"/>
    </row>
    <row r="54" spans="1:12" s="89" customFormat="1" ht="30" customHeight="1" x14ac:dyDescent="0.25">
      <c r="A54" s="90">
        <v>3</v>
      </c>
      <c r="B54" s="132" t="s">
        <v>299</v>
      </c>
      <c r="C54" s="64" t="s">
        <v>106</v>
      </c>
      <c r="D54" s="96" t="s">
        <v>300</v>
      </c>
      <c r="E54" s="92">
        <f>(4.5*3.1)+(2.1*3.1)</f>
        <v>20.46</v>
      </c>
      <c r="F54" s="200"/>
      <c r="G54" s="200"/>
      <c r="H54" s="183"/>
      <c r="I54" s="88"/>
    </row>
    <row r="55" spans="1:12" s="102" customFormat="1" ht="31.5" customHeight="1" x14ac:dyDescent="0.25">
      <c r="A55" s="126"/>
      <c r="B55" s="100" t="s">
        <v>50</v>
      </c>
      <c r="C55" s="100"/>
      <c r="D55" s="100"/>
      <c r="E55" s="100"/>
      <c r="F55" s="100"/>
      <c r="G55" s="100"/>
      <c r="H55" s="158"/>
      <c r="I55" s="101"/>
    </row>
    <row r="56" spans="1:12" ht="22.5" customHeight="1" x14ac:dyDescent="0.25">
      <c r="A56" s="127">
        <v>4</v>
      </c>
      <c r="B56" s="337" t="s">
        <v>51</v>
      </c>
      <c r="C56" s="337"/>
      <c r="D56" s="337"/>
      <c r="E56" s="337"/>
      <c r="F56" s="337"/>
      <c r="G56" s="337"/>
      <c r="H56" s="51"/>
      <c r="I56" s="51"/>
    </row>
    <row r="57" spans="1:12" s="104" customFormat="1" ht="49.5" x14ac:dyDescent="0.25">
      <c r="A57" s="103" t="s">
        <v>25</v>
      </c>
      <c r="B57" s="338" t="s">
        <v>52</v>
      </c>
      <c r="C57" s="339"/>
      <c r="D57" s="21" t="s">
        <v>29</v>
      </c>
      <c r="E57" s="21" t="s">
        <v>53</v>
      </c>
      <c r="F57" s="21" t="s">
        <v>44</v>
      </c>
      <c r="G57" s="21" t="s">
        <v>54</v>
      </c>
      <c r="H57" s="21" t="s">
        <v>45</v>
      </c>
      <c r="I57" s="21" t="s">
        <v>33</v>
      </c>
    </row>
    <row r="58" spans="1:12" ht="21.75" customHeight="1" x14ac:dyDescent="0.25">
      <c r="A58" s="105"/>
      <c r="B58" s="340"/>
      <c r="C58" s="341"/>
      <c r="D58" s="106"/>
      <c r="E58" s="105"/>
      <c r="F58" s="107"/>
      <c r="G58" s="108"/>
      <c r="H58" s="108"/>
      <c r="I58" s="109"/>
      <c r="L58" s="110"/>
    </row>
    <row r="59" spans="1:12" s="112" customFormat="1" ht="27.75" customHeight="1" x14ac:dyDescent="0.25">
      <c r="A59" s="126"/>
      <c r="B59" s="342" t="s">
        <v>34</v>
      </c>
      <c r="C59" s="343"/>
      <c r="D59" s="100"/>
      <c r="E59" s="100"/>
      <c r="F59" s="100"/>
      <c r="G59" s="100"/>
      <c r="H59" s="163">
        <f>SUM(H58)</f>
        <v>0</v>
      </c>
      <c r="I59" s="111"/>
      <c r="L59" s="113"/>
    </row>
    <row r="60" spans="1:12" s="115" customFormat="1" ht="27.75" customHeight="1" x14ac:dyDescent="0.25">
      <c r="A60" s="128">
        <v>5</v>
      </c>
      <c r="B60" s="344" t="s">
        <v>56</v>
      </c>
      <c r="C60" s="344"/>
      <c r="D60" s="344"/>
      <c r="E60" s="344"/>
      <c r="F60" s="344"/>
      <c r="G60" s="345"/>
      <c r="H60" s="164">
        <f>H59+H55+H40+H34</f>
        <v>0</v>
      </c>
      <c r="I60" s="114" t="s">
        <v>57</v>
      </c>
    </row>
    <row r="61" spans="1:12" s="117" customFormat="1" ht="17.25" x14ac:dyDescent="0.25">
      <c r="A61" s="129"/>
      <c r="B61" s="116" t="s">
        <v>78</v>
      </c>
      <c r="C61" s="346" t="s">
        <v>91</v>
      </c>
      <c r="D61" s="346"/>
      <c r="E61" s="346"/>
      <c r="F61" s="346"/>
      <c r="G61" s="346"/>
      <c r="H61" s="346"/>
      <c r="I61" s="346"/>
    </row>
    <row r="62" spans="1:12" s="41" customFormat="1" ht="17.25" hidden="1" x14ac:dyDescent="0.3">
      <c r="A62" s="39"/>
      <c r="B62" s="118"/>
      <c r="E62" s="119"/>
      <c r="F62" s="316" t="s">
        <v>75</v>
      </c>
      <c r="G62" s="316"/>
      <c r="H62" s="316"/>
      <c r="I62" s="316"/>
    </row>
    <row r="63" spans="1:12" hidden="1" x14ac:dyDescent="0.25">
      <c r="F63" s="316" t="s">
        <v>76</v>
      </c>
      <c r="G63" s="316"/>
      <c r="H63" s="316"/>
      <c r="I63" s="316"/>
    </row>
    <row r="64" spans="1:12" hidden="1" x14ac:dyDescent="0.25">
      <c r="F64" s="317"/>
      <c r="G64" s="317"/>
      <c r="H64" s="317"/>
      <c r="I64" s="317"/>
    </row>
    <row r="65" spans="1:9" hidden="1" x14ac:dyDescent="0.25"/>
    <row r="66" spans="1:9" hidden="1" x14ac:dyDescent="0.25"/>
    <row r="67" spans="1:9" hidden="1" x14ac:dyDescent="0.25"/>
    <row r="68" spans="1:9" hidden="1" x14ac:dyDescent="0.25"/>
    <row r="69" spans="1:9" hidden="1" x14ac:dyDescent="0.25"/>
    <row r="70" spans="1:9" hidden="1" x14ac:dyDescent="0.25">
      <c r="F70" s="318" t="s">
        <v>77</v>
      </c>
      <c r="G70" s="318"/>
      <c r="H70" s="318"/>
      <c r="I70" s="318"/>
    </row>
    <row r="71" spans="1:9" ht="63" customHeight="1" x14ac:dyDescent="0.25">
      <c r="A71" s="319" t="s">
        <v>100</v>
      </c>
      <c r="B71" s="319"/>
      <c r="C71" s="319"/>
      <c r="D71" s="319"/>
      <c r="E71" s="319"/>
      <c r="F71" s="319"/>
      <c r="G71" s="319"/>
      <c r="H71" s="319"/>
      <c r="I71" s="319"/>
    </row>
    <row r="72" spans="1:9" x14ac:dyDescent="0.25">
      <c r="A72" s="315" t="s">
        <v>102</v>
      </c>
      <c r="B72" s="315"/>
      <c r="C72" s="315"/>
      <c r="D72" s="315"/>
      <c r="E72" s="315"/>
      <c r="F72" s="315"/>
      <c r="G72" s="315"/>
      <c r="H72" s="315"/>
      <c r="I72" s="315"/>
    </row>
    <row r="73" spans="1:9" x14ac:dyDescent="0.25">
      <c r="A73" s="320" t="s">
        <v>107</v>
      </c>
      <c r="B73" s="320"/>
      <c r="C73" s="320"/>
      <c r="D73" s="321"/>
      <c r="E73" s="322" t="s">
        <v>108</v>
      </c>
      <c r="F73" s="323"/>
      <c r="G73" s="323"/>
      <c r="H73" s="323"/>
      <c r="I73" s="323"/>
    </row>
    <row r="74" spans="1:9" x14ac:dyDescent="0.25">
      <c r="A74" s="320"/>
      <c r="B74" s="320"/>
      <c r="C74" s="320"/>
      <c r="D74" s="321"/>
      <c r="E74" s="322"/>
      <c r="F74" s="323"/>
      <c r="G74" s="323"/>
      <c r="H74" s="323"/>
      <c r="I74" s="323"/>
    </row>
    <row r="75" spans="1:9" x14ac:dyDescent="0.25">
      <c r="A75" s="320"/>
      <c r="B75" s="320"/>
      <c r="C75" s="320"/>
      <c r="D75" s="321"/>
      <c r="E75" s="38"/>
      <c r="I75" s="20"/>
    </row>
    <row r="76" spans="1:9" x14ac:dyDescent="0.25">
      <c r="A76" s="315" t="s">
        <v>101</v>
      </c>
      <c r="B76" s="315"/>
      <c r="C76" s="315"/>
      <c r="D76" s="315"/>
      <c r="E76" s="315"/>
      <c r="F76" s="315"/>
      <c r="G76" s="315"/>
      <c r="H76" s="315"/>
      <c r="I76" s="315"/>
    </row>
  </sheetData>
  <mergeCells count="58">
    <mergeCell ref="E1:I1"/>
    <mergeCell ref="E2:I2"/>
    <mergeCell ref="E4:I4"/>
    <mergeCell ref="A1:D1"/>
    <mergeCell ref="A2:D2"/>
    <mergeCell ref="A4:D4"/>
    <mergeCell ref="A5:I5"/>
    <mergeCell ref="A6:I6"/>
    <mergeCell ref="A7:I7"/>
    <mergeCell ref="B8:I8"/>
    <mergeCell ref="B9:E9"/>
    <mergeCell ref="F9:I9"/>
    <mergeCell ref="C25:I25"/>
    <mergeCell ref="B26:F26"/>
    <mergeCell ref="B27:G27"/>
    <mergeCell ref="B28:I28"/>
    <mergeCell ref="C10:I10"/>
    <mergeCell ref="C11:I11"/>
    <mergeCell ref="C12:E12"/>
    <mergeCell ref="C14:I14"/>
    <mergeCell ref="C15:I15"/>
    <mergeCell ref="C16:E16"/>
    <mergeCell ref="B17:I17"/>
    <mergeCell ref="D19:E19"/>
    <mergeCell ref="C24:I24"/>
    <mergeCell ref="F13:I13"/>
    <mergeCell ref="B29:I29"/>
    <mergeCell ref="A30:A31"/>
    <mergeCell ref="B30:I30"/>
    <mergeCell ref="B31:C31"/>
    <mergeCell ref="B32:C32"/>
    <mergeCell ref="B33:C33"/>
    <mergeCell ref="B40:C40"/>
    <mergeCell ref="A42:A44"/>
    <mergeCell ref="B42:G42"/>
    <mergeCell ref="B43:G43"/>
    <mergeCell ref="B44:G44"/>
    <mergeCell ref="B34:C34"/>
    <mergeCell ref="B36:I36"/>
    <mergeCell ref="B37:C37"/>
    <mergeCell ref="B38:C38"/>
    <mergeCell ref="B39:C39"/>
    <mergeCell ref="A76:I76"/>
    <mergeCell ref="B46:G46"/>
    <mergeCell ref="F62:I62"/>
    <mergeCell ref="F63:I63"/>
    <mergeCell ref="F64:I64"/>
    <mergeCell ref="F70:I70"/>
    <mergeCell ref="C61:I61"/>
    <mergeCell ref="A71:I71"/>
    <mergeCell ref="A72:I72"/>
    <mergeCell ref="A73:D75"/>
    <mergeCell ref="E73:I74"/>
    <mergeCell ref="B56:G56"/>
    <mergeCell ref="B57:C57"/>
    <mergeCell ref="B58:C58"/>
    <mergeCell ref="B59:C59"/>
    <mergeCell ref="B60:G60"/>
  </mergeCells>
  <printOptions horizontalCentered="1"/>
  <pageMargins left="0.11811023622047245" right="0.11811023622047245" top="0.11811023622047245" bottom="0.15748031496062992" header="0.11811023622047245" footer="0.15748031496062992"/>
  <pageSetup paperSize="9" scale="80" orientation="portrait"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86"/>
  <sheetViews>
    <sheetView topLeftCell="A22" workbookViewId="0">
      <selection activeCell="C25" sqref="C25:I25"/>
    </sheetView>
  </sheetViews>
  <sheetFormatPr defaultColWidth="9.140625" defaultRowHeight="16.5" x14ac:dyDescent="0.25"/>
  <cols>
    <col min="1" max="1" width="4.140625" style="68" customWidth="1"/>
    <col min="2" max="2" width="27.42578125" style="20" customWidth="1"/>
    <col min="3" max="3" width="8.42578125" style="20" customWidth="1"/>
    <col min="4" max="4" width="21.7109375" style="20" customWidth="1"/>
    <col min="5" max="5" width="10.7109375" style="23" customWidth="1"/>
    <col min="6" max="6" width="12" style="20" customWidth="1"/>
    <col min="7" max="7" width="9.42578125" style="20" customWidth="1"/>
    <col min="8" max="8" width="13" style="20" customWidth="1"/>
    <col min="9" max="9" width="17.42578125" style="120" customWidth="1"/>
    <col min="10" max="11" width="9.140625" style="20" customWidth="1"/>
    <col min="12" max="12" width="11.42578125" style="20" customWidth="1"/>
    <col min="13" max="19" width="9.140625" style="20" customWidth="1"/>
    <col min="20" max="16384" width="9.140625" style="20"/>
  </cols>
  <sheetData>
    <row r="1" spans="1:17" s="36" customFormat="1" x14ac:dyDescent="0.25">
      <c r="A1" s="368" t="s">
        <v>98</v>
      </c>
      <c r="B1" s="368"/>
      <c r="C1" s="368"/>
      <c r="D1" s="368"/>
      <c r="E1" s="368" t="s">
        <v>0</v>
      </c>
      <c r="F1" s="368"/>
      <c r="G1" s="368"/>
      <c r="H1" s="368"/>
      <c r="I1" s="368"/>
    </row>
    <row r="2" spans="1:17" s="36" customFormat="1" x14ac:dyDescent="0.25">
      <c r="A2" s="369" t="s">
        <v>99</v>
      </c>
      <c r="B2" s="369"/>
      <c r="C2" s="369"/>
      <c r="D2" s="369"/>
      <c r="E2" s="369" t="s">
        <v>1</v>
      </c>
      <c r="F2" s="368"/>
      <c r="G2" s="368"/>
      <c r="H2" s="368"/>
      <c r="I2" s="368"/>
    </row>
    <row r="3" spans="1:17" s="36" customFormat="1" ht="15.75" customHeight="1" x14ac:dyDescent="0.25">
      <c r="A3" s="39"/>
      <c r="C3" s="39"/>
      <c r="D3" s="39"/>
      <c r="E3" s="39"/>
      <c r="F3" s="39"/>
      <c r="G3" s="39"/>
      <c r="H3" s="39"/>
      <c r="I3" s="37"/>
    </row>
    <row r="4" spans="1:17" s="36" customFormat="1" x14ac:dyDescent="0.25">
      <c r="A4" s="369" t="s">
        <v>89</v>
      </c>
      <c r="B4" s="369"/>
      <c r="C4" s="369"/>
      <c r="E4" s="370" t="s">
        <v>185</v>
      </c>
      <c r="F4" s="370"/>
      <c r="G4" s="370"/>
      <c r="H4" s="370"/>
      <c r="I4" s="370"/>
    </row>
    <row r="5" spans="1:17" s="40" customFormat="1" ht="18.75" customHeight="1" x14ac:dyDescent="0.25">
      <c r="A5" s="371" t="s">
        <v>85</v>
      </c>
      <c r="B5" s="371"/>
      <c r="C5" s="371"/>
      <c r="D5" s="371"/>
      <c r="E5" s="371"/>
      <c r="F5" s="371"/>
      <c r="G5" s="371"/>
      <c r="H5" s="371"/>
      <c r="I5" s="371"/>
    </row>
    <row r="6" spans="1:17" s="40" customFormat="1" ht="41.25" customHeight="1" x14ac:dyDescent="0.25">
      <c r="A6" s="372" t="s">
        <v>86</v>
      </c>
      <c r="B6" s="372"/>
      <c r="C6" s="372"/>
      <c r="D6" s="372"/>
      <c r="E6" s="372"/>
      <c r="F6" s="372"/>
      <c r="G6" s="372"/>
      <c r="H6" s="372"/>
      <c r="I6" s="372"/>
      <c r="Q6" s="41"/>
    </row>
    <row r="7" spans="1:17" s="40" customFormat="1" ht="23.25" customHeight="1" x14ac:dyDescent="0.25">
      <c r="A7" s="373" t="s">
        <v>166</v>
      </c>
      <c r="B7" s="373"/>
      <c r="C7" s="373"/>
      <c r="D7" s="373"/>
      <c r="E7" s="373"/>
      <c r="F7" s="373"/>
      <c r="G7" s="373"/>
      <c r="H7" s="373"/>
      <c r="I7" s="373"/>
    </row>
    <row r="8" spans="1:17" s="42" customFormat="1" ht="19.899999999999999" customHeight="1" x14ac:dyDescent="0.25">
      <c r="A8" s="121" t="s">
        <v>2</v>
      </c>
      <c r="B8" s="362" t="s">
        <v>3</v>
      </c>
      <c r="C8" s="362"/>
      <c r="D8" s="362"/>
      <c r="E8" s="362"/>
      <c r="F8" s="362"/>
      <c r="G8" s="362"/>
      <c r="H8" s="362"/>
      <c r="I8" s="362"/>
    </row>
    <row r="9" spans="1:17" s="42" customFormat="1" ht="19.899999999999999" customHeight="1" x14ac:dyDescent="0.25">
      <c r="A9" s="121" t="s">
        <v>4</v>
      </c>
      <c r="B9" s="374" t="s">
        <v>5</v>
      </c>
      <c r="C9" s="374"/>
      <c r="D9" s="374"/>
      <c r="E9" s="374"/>
      <c r="F9" s="365" t="s">
        <v>301</v>
      </c>
      <c r="G9" s="365"/>
      <c r="H9" s="365"/>
      <c r="I9" s="365"/>
    </row>
    <row r="10" spans="1:17" s="42" customFormat="1" ht="19.899999999999999" customHeight="1" x14ac:dyDescent="0.25">
      <c r="A10" s="122"/>
      <c r="B10" s="24" t="s">
        <v>6</v>
      </c>
      <c r="C10" s="365" t="s">
        <v>225</v>
      </c>
      <c r="D10" s="365"/>
      <c r="E10" s="365"/>
      <c r="F10" s="365"/>
      <c r="G10" s="365"/>
      <c r="H10" s="365"/>
      <c r="I10" s="365"/>
    </row>
    <row r="11" spans="1:17" s="42" customFormat="1" ht="19.899999999999999" customHeight="1" x14ac:dyDescent="0.25">
      <c r="A11" s="122"/>
      <c r="B11" s="24" t="s">
        <v>7</v>
      </c>
      <c r="C11" s="365" t="str">
        <f>+C10</f>
        <v>Thôn Thanh Trì - xã Phú Nghĩa - TP Hà Nội</v>
      </c>
      <c r="D11" s="365"/>
      <c r="E11" s="365"/>
      <c r="F11" s="365"/>
      <c r="G11" s="365"/>
      <c r="H11" s="365"/>
      <c r="I11" s="365"/>
    </row>
    <row r="12" spans="1:17" s="42" customFormat="1" ht="19.899999999999999" customHeight="1" x14ac:dyDescent="0.25">
      <c r="A12" s="122"/>
      <c r="B12" s="24" t="s">
        <v>11</v>
      </c>
      <c r="C12" s="384" t="s">
        <v>302</v>
      </c>
      <c r="D12" s="384"/>
      <c r="E12" s="384"/>
      <c r="F12" s="43"/>
      <c r="G12" s="43"/>
      <c r="H12" s="43"/>
      <c r="I12" s="43"/>
    </row>
    <row r="13" spans="1:17" s="42" customFormat="1" ht="19.899999999999999" customHeight="1" x14ac:dyDescent="0.25">
      <c r="A13" s="121" t="s">
        <v>9</v>
      </c>
      <c r="B13" s="44" t="s">
        <v>10</v>
      </c>
      <c r="E13" s="43"/>
      <c r="F13" s="362" t="str">
        <f>F9</f>
        <v>Nguyễn Vũ Mạnh</v>
      </c>
      <c r="G13" s="362"/>
      <c r="H13" s="362"/>
      <c r="I13" s="362"/>
      <c r="J13" s="143"/>
    </row>
    <row r="14" spans="1:17" s="42" customFormat="1" ht="19.899999999999999" customHeight="1" x14ac:dyDescent="0.25">
      <c r="A14" s="122"/>
      <c r="B14" s="24" t="s">
        <v>6</v>
      </c>
      <c r="C14" s="365" t="str">
        <f>+C10</f>
        <v>Thôn Thanh Trì - xã Phú Nghĩa - TP Hà Nội</v>
      </c>
      <c r="D14" s="365"/>
      <c r="E14" s="365"/>
      <c r="F14" s="365"/>
      <c r="G14" s="365"/>
      <c r="H14" s="365"/>
      <c r="I14" s="365"/>
    </row>
    <row r="15" spans="1:17" s="42" customFormat="1" ht="19.899999999999999" customHeight="1" x14ac:dyDescent="0.25">
      <c r="A15" s="122"/>
      <c r="B15" s="24" t="s">
        <v>7</v>
      </c>
      <c r="C15" s="365" t="str">
        <f>+C14</f>
        <v>Thôn Thanh Trì - xã Phú Nghĩa - TP Hà Nội</v>
      </c>
      <c r="D15" s="365"/>
      <c r="E15" s="365"/>
      <c r="F15" s="365"/>
      <c r="G15" s="365"/>
      <c r="H15" s="365"/>
      <c r="I15" s="365"/>
    </row>
    <row r="16" spans="1:17" s="42" customFormat="1" ht="19.899999999999999" customHeight="1" x14ac:dyDescent="0.25">
      <c r="A16" s="122"/>
      <c r="B16" s="24" t="s">
        <v>11</v>
      </c>
      <c r="C16" s="384" t="str">
        <f>+C12</f>
        <v>001065037043</v>
      </c>
      <c r="D16" s="384"/>
      <c r="E16" s="384"/>
      <c r="F16" s="43"/>
      <c r="G16" s="43"/>
      <c r="H16" s="43"/>
      <c r="I16" s="43"/>
    </row>
    <row r="17" spans="1:19" s="42" customFormat="1" ht="19.899999999999999" customHeight="1" x14ac:dyDescent="0.25">
      <c r="A17" s="121" t="s">
        <v>12</v>
      </c>
      <c r="B17" s="362" t="s">
        <v>13</v>
      </c>
      <c r="C17" s="362"/>
      <c r="D17" s="362"/>
      <c r="E17" s="362"/>
      <c r="F17" s="362"/>
      <c r="G17" s="362"/>
      <c r="H17" s="362"/>
      <c r="I17" s="362"/>
    </row>
    <row r="18" spans="1:19" s="42" customFormat="1" ht="19.899999999999999" customHeight="1" x14ac:dyDescent="0.25">
      <c r="A18" s="121" t="s">
        <v>4</v>
      </c>
      <c r="B18" s="46" t="s">
        <v>14</v>
      </c>
      <c r="E18" s="43"/>
    </row>
    <row r="19" spans="1:19" s="51" customFormat="1" ht="19.899999999999999" customHeight="1" x14ac:dyDescent="0.25">
      <c r="A19" s="123"/>
      <c r="B19" s="47" t="s">
        <v>15</v>
      </c>
      <c r="C19" s="144" t="s">
        <v>119</v>
      </c>
      <c r="D19" s="363" t="s">
        <v>16</v>
      </c>
      <c r="E19" s="363"/>
      <c r="F19" s="49" t="s">
        <v>113</v>
      </c>
      <c r="G19" s="50"/>
      <c r="I19" s="50"/>
    </row>
    <row r="20" spans="1:19" s="51" customFormat="1" ht="19.899999999999999" customHeight="1" x14ac:dyDescent="0.25">
      <c r="A20" s="123"/>
      <c r="B20" s="47" t="s">
        <v>17</v>
      </c>
      <c r="C20" s="52">
        <v>660.5</v>
      </c>
      <c r="D20" s="50" t="s">
        <v>105</v>
      </c>
      <c r="E20" s="53"/>
      <c r="F20" s="54"/>
      <c r="H20" s="55"/>
      <c r="I20" s="50"/>
    </row>
    <row r="21" spans="1:19" s="51" customFormat="1" ht="19.899999999999999" customHeight="1" x14ac:dyDescent="0.25">
      <c r="A21" s="123"/>
      <c r="B21" s="56" t="s">
        <v>18</v>
      </c>
      <c r="C21" s="57"/>
      <c r="D21" s="50"/>
      <c r="E21" s="53"/>
      <c r="F21" s="50"/>
      <c r="H21" s="55"/>
      <c r="I21" s="50"/>
    </row>
    <row r="22" spans="1:19" s="51" customFormat="1" ht="19.899999999999999" customHeight="1" x14ac:dyDescent="0.25">
      <c r="A22" s="123"/>
      <c r="B22" s="47" t="s">
        <v>19</v>
      </c>
      <c r="C22" s="52">
        <v>256.60000000000002</v>
      </c>
      <c r="D22" s="50" t="s">
        <v>105</v>
      </c>
      <c r="E22" s="53"/>
      <c r="F22" s="50"/>
      <c r="H22" s="55"/>
      <c r="I22" s="50"/>
    </row>
    <row r="23" spans="1:19" s="51" customFormat="1" ht="19.899999999999999" customHeight="1" x14ac:dyDescent="0.25">
      <c r="A23" s="123"/>
      <c r="B23" s="47" t="s">
        <v>20</v>
      </c>
      <c r="C23" s="57">
        <f>C20-C22</f>
        <v>403.9</v>
      </c>
      <c r="D23" s="50" t="s">
        <v>105</v>
      </c>
      <c r="E23" s="53"/>
      <c r="F23" s="50"/>
      <c r="H23" s="55"/>
      <c r="I23" s="50"/>
    </row>
    <row r="24" spans="1:19" s="42" customFormat="1" ht="19.899999999999999" customHeight="1" x14ac:dyDescent="0.25">
      <c r="A24" s="122"/>
      <c r="B24" s="24" t="s">
        <v>21</v>
      </c>
      <c r="C24" s="362" t="s">
        <v>578</v>
      </c>
      <c r="D24" s="362"/>
      <c r="E24" s="362"/>
      <c r="F24" s="362"/>
      <c r="G24" s="362"/>
      <c r="H24" s="362"/>
      <c r="I24" s="362"/>
    </row>
    <row r="25" spans="1:19" s="36" customFormat="1" ht="207" customHeight="1" x14ac:dyDescent="0.25">
      <c r="A25" s="39" t="s">
        <v>9</v>
      </c>
      <c r="B25" s="58" t="s">
        <v>73</v>
      </c>
      <c r="C25" s="366" t="s">
        <v>577</v>
      </c>
      <c r="D25" s="367"/>
      <c r="E25" s="367"/>
      <c r="F25" s="367"/>
      <c r="G25" s="367"/>
      <c r="H25" s="367"/>
      <c r="I25" s="367"/>
      <c r="J25" s="133"/>
      <c r="K25" s="133"/>
      <c r="L25" s="59"/>
      <c r="M25" s="59"/>
      <c r="N25" s="59"/>
      <c r="O25" s="59"/>
      <c r="P25" s="59"/>
      <c r="Q25" s="59"/>
      <c r="R25" s="59"/>
      <c r="S25" s="59"/>
    </row>
    <row r="26" spans="1:19" s="36" customFormat="1" ht="19.899999999999999" customHeight="1" x14ac:dyDescent="0.25">
      <c r="A26" s="39" t="s">
        <v>22</v>
      </c>
      <c r="B26" s="364" t="s">
        <v>82</v>
      </c>
      <c r="C26" s="364"/>
      <c r="D26" s="364"/>
      <c r="E26" s="364"/>
      <c r="F26" s="364"/>
      <c r="G26" s="60"/>
      <c r="H26" s="149" t="s">
        <v>118</v>
      </c>
      <c r="I26" s="60" t="s">
        <v>55</v>
      </c>
      <c r="J26" s="142"/>
      <c r="K26" s="142"/>
      <c r="L26" s="59"/>
      <c r="M26" s="59"/>
      <c r="N26" s="59"/>
      <c r="O26" s="59"/>
      <c r="P26" s="59"/>
      <c r="Q26" s="59"/>
      <c r="R26" s="59"/>
      <c r="S26" s="59"/>
    </row>
    <row r="27" spans="1:19" s="36" customFormat="1" ht="19.899999999999999" customHeight="1" x14ac:dyDescent="0.25">
      <c r="A27" s="39" t="s">
        <v>23</v>
      </c>
      <c r="B27" s="364" t="s">
        <v>65</v>
      </c>
      <c r="C27" s="364"/>
      <c r="D27" s="364"/>
      <c r="E27" s="364"/>
      <c r="F27" s="364"/>
      <c r="G27" s="364"/>
      <c r="H27" s="148" t="s">
        <v>132</v>
      </c>
      <c r="I27" s="60" t="s">
        <v>84</v>
      </c>
      <c r="J27" s="59"/>
      <c r="K27" s="59"/>
      <c r="L27" s="59"/>
      <c r="M27" s="59"/>
      <c r="N27" s="59"/>
      <c r="O27" s="59"/>
      <c r="P27" s="59"/>
      <c r="Q27" s="59"/>
      <c r="R27" s="59"/>
      <c r="S27" s="59"/>
    </row>
    <row r="28" spans="1:19" s="41" customFormat="1" x14ac:dyDescent="0.25">
      <c r="A28" s="39" t="s">
        <v>88</v>
      </c>
      <c r="B28" s="364" t="s">
        <v>87</v>
      </c>
      <c r="C28" s="364"/>
      <c r="D28" s="364"/>
      <c r="E28" s="364"/>
      <c r="F28" s="364"/>
      <c r="G28" s="364"/>
      <c r="H28" s="364"/>
      <c r="I28" s="364"/>
    </row>
    <row r="29" spans="1:19" s="40" customFormat="1" x14ac:dyDescent="0.25">
      <c r="A29" s="39" t="s">
        <v>4</v>
      </c>
      <c r="B29" s="360" t="s">
        <v>24</v>
      </c>
      <c r="C29" s="360"/>
      <c r="D29" s="360"/>
      <c r="E29" s="360"/>
      <c r="F29" s="360"/>
      <c r="G29" s="360"/>
      <c r="H29" s="360"/>
      <c r="I29" s="360"/>
      <c r="J29" s="41"/>
      <c r="K29" s="41"/>
      <c r="L29" s="41"/>
      <c r="M29" s="41"/>
      <c r="N29" s="41"/>
      <c r="O29" s="41"/>
      <c r="P29" s="41"/>
      <c r="Q29" s="41"/>
      <c r="R29" s="41"/>
      <c r="S29" s="41"/>
    </row>
    <row r="30" spans="1:19" s="24" customFormat="1" ht="32.25" customHeight="1" x14ac:dyDescent="0.25">
      <c r="A30" s="351" t="s">
        <v>25</v>
      </c>
      <c r="B30" s="353" t="s">
        <v>26</v>
      </c>
      <c r="C30" s="354"/>
      <c r="D30" s="354"/>
      <c r="E30" s="354"/>
      <c r="F30" s="354"/>
      <c r="G30" s="354"/>
      <c r="H30" s="354"/>
      <c r="I30" s="355"/>
    </row>
    <row r="31" spans="1:19" s="25" customFormat="1" ht="49.5" x14ac:dyDescent="0.25">
      <c r="A31" s="352"/>
      <c r="B31" s="353" t="s">
        <v>27</v>
      </c>
      <c r="C31" s="355"/>
      <c r="D31" s="21" t="s">
        <v>28</v>
      </c>
      <c r="E31" s="22" t="s">
        <v>29</v>
      </c>
      <c r="F31" s="22" t="s">
        <v>30</v>
      </c>
      <c r="G31" s="21" t="s">
        <v>31</v>
      </c>
      <c r="H31" s="22" t="s">
        <v>104</v>
      </c>
      <c r="I31" s="22" t="s">
        <v>33</v>
      </c>
    </row>
    <row r="32" spans="1:19" s="62" customFormat="1" ht="18.75" customHeight="1" x14ac:dyDescent="0.25">
      <c r="A32" s="61">
        <v>1</v>
      </c>
      <c r="B32" s="356">
        <v>2</v>
      </c>
      <c r="C32" s="357"/>
      <c r="D32" s="61">
        <v>3</v>
      </c>
      <c r="E32" s="61">
        <v>4</v>
      </c>
      <c r="F32" s="61">
        <v>5</v>
      </c>
      <c r="G32" s="61">
        <v>6</v>
      </c>
      <c r="H32" s="61">
        <v>7</v>
      </c>
      <c r="I32" s="61">
        <v>8</v>
      </c>
    </row>
    <row r="33" spans="1:9" s="68" customFormat="1" ht="35.450000000000003" customHeight="1" x14ac:dyDescent="0.25">
      <c r="A33" s="63">
        <v>1</v>
      </c>
      <c r="B33" s="358" t="s">
        <v>565</v>
      </c>
      <c r="C33" s="359"/>
      <c r="D33" s="64" t="s">
        <v>106</v>
      </c>
      <c r="E33" s="65">
        <f>C22</f>
        <v>256.60000000000002</v>
      </c>
      <c r="F33" s="63"/>
      <c r="G33" s="66"/>
      <c r="H33" s="166">
        <f>E33*F33*G33</f>
        <v>0</v>
      </c>
      <c r="I33" s="67"/>
    </row>
    <row r="34" spans="1:9" s="71" customFormat="1" ht="24.75" customHeight="1" x14ac:dyDescent="0.25">
      <c r="A34" s="69"/>
      <c r="B34" s="349" t="s">
        <v>34</v>
      </c>
      <c r="C34" s="350"/>
      <c r="D34" s="69"/>
      <c r="E34" s="69"/>
      <c r="F34" s="69"/>
      <c r="G34" s="69"/>
      <c r="H34" s="169">
        <f>SUM(H33:H33)</f>
        <v>0</v>
      </c>
      <c r="I34" s="69"/>
    </row>
    <row r="35" spans="1:9" ht="8.25" customHeight="1" x14ac:dyDescent="0.25">
      <c r="A35" s="77"/>
      <c r="B35" s="72"/>
      <c r="C35" s="72"/>
      <c r="D35" s="73"/>
      <c r="E35" s="73"/>
      <c r="F35" s="73"/>
      <c r="G35" s="73"/>
      <c r="H35" s="73"/>
      <c r="I35" s="73"/>
    </row>
    <row r="36" spans="1:9" x14ac:dyDescent="0.25">
      <c r="A36" s="75" t="s">
        <v>9</v>
      </c>
      <c r="B36" s="360" t="s">
        <v>35</v>
      </c>
      <c r="C36" s="360"/>
      <c r="D36" s="360"/>
      <c r="E36" s="360"/>
      <c r="F36" s="360"/>
      <c r="G36" s="360"/>
      <c r="H36" s="360"/>
      <c r="I36" s="360"/>
    </row>
    <row r="37" spans="1:9" s="23" customFormat="1" ht="49.5" x14ac:dyDescent="0.25">
      <c r="A37" s="29" t="s">
        <v>25</v>
      </c>
      <c r="B37" s="353" t="s">
        <v>27</v>
      </c>
      <c r="C37" s="355"/>
      <c r="D37" s="21" t="s">
        <v>28</v>
      </c>
      <c r="E37" s="22" t="s">
        <v>29</v>
      </c>
      <c r="F37" s="22" t="s">
        <v>30</v>
      </c>
      <c r="G37" s="21" t="s">
        <v>31</v>
      </c>
      <c r="H37" s="22" t="s">
        <v>32</v>
      </c>
      <c r="I37" s="22" t="s">
        <v>33</v>
      </c>
    </row>
    <row r="38" spans="1:9" s="62" customFormat="1" ht="18" customHeight="1" x14ac:dyDescent="0.25">
      <c r="A38" s="61">
        <v>1</v>
      </c>
      <c r="B38" s="356">
        <v>2</v>
      </c>
      <c r="C38" s="357"/>
      <c r="D38" s="61">
        <v>3</v>
      </c>
      <c r="E38" s="61">
        <v>4</v>
      </c>
      <c r="F38" s="61">
        <v>5</v>
      </c>
      <c r="G38" s="61">
        <v>6</v>
      </c>
      <c r="H38" s="61">
        <v>7</v>
      </c>
      <c r="I38" s="61">
        <v>8</v>
      </c>
    </row>
    <row r="39" spans="1:9" ht="36" customHeight="1" x14ac:dyDescent="0.25">
      <c r="A39" s="26">
        <v>1</v>
      </c>
      <c r="B39" s="353"/>
      <c r="C39" s="355"/>
      <c r="D39" s="27"/>
      <c r="E39" s="22"/>
      <c r="F39" s="27"/>
      <c r="G39" s="27"/>
      <c r="H39" s="27"/>
      <c r="I39" s="26" t="s">
        <v>36</v>
      </c>
    </row>
    <row r="40" spans="1:9" s="71" customFormat="1" ht="25.5" customHeight="1" x14ac:dyDescent="0.25">
      <c r="A40" s="69"/>
      <c r="B40" s="349" t="s">
        <v>34</v>
      </c>
      <c r="C40" s="350"/>
      <c r="D40" s="74"/>
      <c r="E40" s="69"/>
      <c r="F40" s="74"/>
      <c r="G40" s="74"/>
      <c r="H40" s="74"/>
      <c r="I40" s="69"/>
    </row>
    <row r="41" spans="1:9" ht="11.25" customHeight="1" x14ac:dyDescent="0.25">
      <c r="A41" s="124"/>
      <c r="B41" s="75"/>
      <c r="C41" s="75"/>
      <c r="D41" s="76"/>
      <c r="E41" s="75"/>
      <c r="F41" s="76"/>
      <c r="G41" s="76"/>
      <c r="H41" s="76"/>
      <c r="I41" s="75"/>
    </row>
    <row r="42" spans="1:9" x14ac:dyDescent="0.25">
      <c r="A42" s="324"/>
      <c r="B42" s="327" t="s">
        <v>37</v>
      </c>
      <c r="C42" s="328"/>
      <c r="D42" s="328"/>
      <c r="E42" s="328"/>
      <c r="F42" s="328"/>
      <c r="G42" s="329"/>
      <c r="H42" s="27"/>
      <c r="I42" s="26" t="s">
        <v>74</v>
      </c>
    </row>
    <row r="43" spans="1:9" x14ac:dyDescent="0.25">
      <c r="A43" s="325"/>
      <c r="B43" s="330" t="s">
        <v>38</v>
      </c>
      <c r="C43" s="331"/>
      <c r="D43" s="331"/>
      <c r="E43" s="331"/>
      <c r="F43" s="331"/>
      <c r="G43" s="332"/>
      <c r="H43" s="27"/>
      <c r="I43" s="26" t="s">
        <v>74</v>
      </c>
    </row>
    <row r="44" spans="1:9" x14ac:dyDescent="0.25">
      <c r="A44" s="326"/>
      <c r="B44" s="333" t="s">
        <v>39</v>
      </c>
      <c r="C44" s="334"/>
      <c r="D44" s="334"/>
      <c r="E44" s="334"/>
      <c r="F44" s="334"/>
      <c r="G44" s="335"/>
      <c r="H44" s="27"/>
      <c r="I44" s="26" t="s">
        <v>74</v>
      </c>
    </row>
    <row r="45" spans="1:9" ht="11.25" customHeight="1" x14ac:dyDescent="0.25">
      <c r="A45" s="77"/>
      <c r="B45" s="72"/>
      <c r="C45" s="72"/>
      <c r="D45" s="72"/>
      <c r="E45" s="78"/>
      <c r="F45" s="72"/>
      <c r="G45" s="72"/>
      <c r="H45" s="79"/>
      <c r="I45" s="185"/>
    </row>
    <row r="46" spans="1:9" ht="24" customHeight="1" x14ac:dyDescent="0.25">
      <c r="A46" s="125" t="s">
        <v>22</v>
      </c>
      <c r="B46" s="376" t="s">
        <v>40</v>
      </c>
      <c r="C46" s="376"/>
      <c r="D46" s="376"/>
      <c r="E46" s="376"/>
      <c r="F46" s="376"/>
      <c r="G46" s="376"/>
      <c r="H46" s="80"/>
      <c r="I46" s="81"/>
    </row>
    <row r="47" spans="1:9" s="30" customFormat="1" ht="49.5" x14ac:dyDescent="0.25">
      <c r="A47" s="21" t="s">
        <v>25</v>
      </c>
      <c r="B47" s="21" t="s">
        <v>41</v>
      </c>
      <c r="C47" s="21" t="s">
        <v>28</v>
      </c>
      <c r="D47" s="21" t="s">
        <v>42</v>
      </c>
      <c r="E47" s="21" t="s">
        <v>43</v>
      </c>
      <c r="F47" s="21" t="s">
        <v>44</v>
      </c>
      <c r="G47" s="21" t="s">
        <v>31</v>
      </c>
      <c r="H47" s="21" t="s">
        <v>45</v>
      </c>
      <c r="I47" s="21" t="s">
        <v>33</v>
      </c>
    </row>
    <row r="48" spans="1:9" s="83" customFormat="1" ht="18" customHeight="1" x14ac:dyDescent="0.25">
      <c r="A48" s="82">
        <v>1</v>
      </c>
      <c r="B48" s="82">
        <v>2</v>
      </c>
      <c r="C48" s="82">
        <v>3</v>
      </c>
      <c r="D48" s="82">
        <v>4</v>
      </c>
      <c r="E48" s="82">
        <v>5</v>
      </c>
      <c r="F48" s="82">
        <v>6</v>
      </c>
      <c r="G48" s="82">
        <v>7</v>
      </c>
      <c r="H48" s="82">
        <v>8</v>
      </c>
      <c r="I48" s="82">
        <v>9</v>
      </c>
    </row>
    <row r="49" spans="1:9" s="89" customFormat="1" ht="30" customHeight="1" x14ac:dyDescent="0.25">
      <c r="A49" s="21" t="s">
        <v>46</v>
      </c>
      <c r="B49" s="84" t="s">
        <v>47</v>
      </c>
      <c r="C49" s="85"/>
      <c r="D49" s="85"/>
      <c r="E49" s="86"/>
      <c r="F49" s="85"/>
      <c r="G49" s="85"/>
      <c r="H49" s="157">
        <f>SUM(H50:H58)</f>
        <v>0</v>
      </c>
      <c r="I49" s="88"/>
    </row>
    <row r="50" spans="1:9" s="145" customFormat="1" ht="24" customHeight="1" x14ac:dyDescent="0.25">
      <c r="A50" s="90">
        <v>1</v>
      </c>
      <c r="B50" s="95" t="s">
        <v>94</v>
      </c>
      <c r="C50" s="64" t="s">
        <v>106</v>
      </c>
      <c r="D50" s="90" t="s">
        <v>303</v>
      </c>
      <c r="E50" s="92">
        <f>22.13*10</f>
        <v>221.29999999999998</v>
      </c>
      <c r="F50" s="93"/>
      <c r="G50" s="93"/>
      <c r="H50" s="183"/>
      <c r="I50" s="347" t="s">
        <v>110</v>
      </c>
    </row>
    <row r="51" spans="1:9" s="145" customFormat="1" ht="24.75" customHeight="1" x14ac:dyDescent="0.25">
      <c r="A51" s="90">
        <v>2</v>
      </c>
      <c r="B51" s="91" t="s">
        <v>96</v>
      </c>
      <c r="C51" s="64" t="s">
        <v>106</v>
      </c>
      <c r="D51" s="90" t="s">
        <v>304</v>
      </c>
      <c r="E51" s="92">
        <f>22.13*4.1</f>
        <v>90.73299999999999</v>
      </c>
      <c r="F51" s="93"/>
      <c r="G51" s="93"/>
      <c r="H51" s="183"/>
      <c r="I51" s="348"/>
    </row>
    <row r="52" spans="1:9" s="145" customFormat="1" ht="72" customHeight="1" x14ac:dyDescent="0.25">
      <c r="A52" s="90">
        <v>3</v>
      </c>
      <c r="B52" s="91" t="s">
        <v>410</v>
      </c>
      <c r="C52" s="64" t="s">
        <v>106</v>
      </c>
      <c r="D52" s="96" t="s">
        <v>305</v>
      </c>
      <c r="E52" s="92">
        <f>5.81*10.43</f>
        <v>60.598299999999995</v>
      </c>
      <c r="F52" s="93"/>
      <c r="G52" s="93"/>
      <c r="H52" s="183"/>
      <c r="I52" s="348"/>
    </row>
    <row r="53" spans="1:9" s="145" customFormat="1" ht="36" customHeight="1" x14ac:dyDescent="0.25">
      <c r="A53" s="90"/>
      <c r="B53" s="132" t="s">
        <v>133</v>
      </c>
      <c r="C53" s="64" t="s">
        <v>106</v>
      </c>
      <c r="D53" s="96" t="s">
        <v>306</v>
      </c>
      <c r="E53" s="234">
        <v>49.15</v>
      </c>
      <c r="F53" s="93"/>
      <c r="G53" s="93"/>
      <c r="H53" s="183"/>
      <c r="I53" s="348"/>
    </row>
    <row r="54" spans="1:9" s="145" customFormat="1" ht="35.25" customHeight="1" x14ac:dyDescent="0.25">
      <c r="A54" s="90"/>
      <c r="B54" s="132" t="s">
        <v>162</v>
      </c>
      <c r="C54" s="64" t="s">
        <v>106</v>
      </c>
      <c r="D54" s="96" t="s">
        <v>411</v>
      </c>
      <c r="E54" s="222">
        <f>E52-E53</f>
        <v>11.448299999999996</v>
      </c>
      <c r="F54" s="93"/>
      <c r="G54" s="93"/>
      <c r="H54" s="183"/>
      <c r="I54" s="348"/>
    </row>
    <row r="55" spans="1:9" s="145" customFormat="1" ht="91.15" customHeight="1" x14ac:dyDescent="0.25">
      <c r="A55" s="90">
        <v>4</v>
      </c>
      <c r="B55" s="132" t="s">
        <v>307</v>
      </c>
      <c r="C55" s="64" t="s">
        <v>106</v>
      </c>
      <c r="D55" s="96" t="s">
        <v>308</v>
      </c>
      <c r="E55" s="237">
        <f>(4.59*6.91)+(3*4.78)</f>
        <v>46.056899999999999</v>
      </c>
      <c r="F55" s="93"/>
      <c r="G55" s="93"/>
      <c r="H55" s="183"/>
      <c r="I55" s="348"/>
    </row>
    <row r="56" spans="1:9" s="145" customFormat="1" ht="34.5" customHeight="1" x14ac:dyDescent="0.25">
      <c r="A56" s="90"/>
      <c r="B56" s="132" t="s">
        <v>412</v>
      </c>
      <c r="C56" s="64" t="s">
        <v>106</v>
      </c>
      <c r="D56" s="96" t="s">
        <v>145</v>
      </c>
      <c r="E56" s="237">
        <f>E55</f>
        <v>46.056899999999999</v>
      </c>
      <c r="F56" s="93"/>
      <c r="G56" s="93"/>
      <c r="H56" s="183"/>
      <c r="I56" s="348"/>
    </row>
    <row r="57" spans="1:9" s="145" customFormat="1" ht="75" customHeight="1" x14ac:dyDescent="0.25">
      <c r="A57" s="90">
        <v>5</v>
      </c>
      <c r="B57" s="132" t="s">
        <v>413</v>
      </c>
      <c r="C57" s="64" t="s">
        <v>106</v>
      </c>
      <c r="D57" s="96" t="s">
        <v>309</v>
      </c>
      <c r="E57" s="235">
        <f>7.2*6.57</f>
        <v>47.304000000000002</v>
      </c>
      <c r="F57" s="93"/>
      <c r="G57" s="93"/>
      <c r="H57" s="183"/>
      <c r="I57" s="348"/>
    </row>
    <row r="58" spans="1:9" s="145" customFormat="1" ht="33" customHeight="1" x14ac:dyDescent="0.25">
      <c r="A58" s="90"/>
      <c r="B58" s="132" t="s">
        <v>414</v>
      </c>
      <c r="C58" s="64" t="s">
        <v>106</v>
      </c>
      <c r="D58" s="96" t="s">
        <v>145</v>
      </c>
      <c r="E58" s="235">
        <f>E57</f>
        <v>47.304000000000002</v>
      </c>
      <c r="F58" s="93"/>
      <c r="G58" s="93"/>
      <c r="H58" s="183"/>
      <c r="I58" s="348"/>
    </row>
    <row r="59" spans="1:9" s="89" customFormat="1" ht="25.5" customHeight="1" x14ac:dyDescent="0.25">
      <c r="A59" s="21" t="s">
        <v>48</v>
      </c>
      <c r="B59" s="84" t="s">
        <v>49</v>
      </c>
      <c r="C59" s="85"/>
      <c r="D59" s="85"/>
      <c r="E59" s="92"/>
      <c r="F59" s="85"/>
      <c r="G59" s="85"/>
      <c r="H59" s="157">
        <f>SUM(H60:H64)</f>
        <v>0</v>
      </c>
      <c r="I59" s="95"/>
    </row>
    <row r="60" spans="1:9" s="89" customFormat="1" ht="25.15" customHeight="1" x14ac:dyDescent="0.25">
      <c r="A60" s="90">
        <v>1</v>
      </c>
      <c r="B60" s="186" t="s">
        <v>311</v>
      </c>
      <c r="C60" s="93" t="s">
        <v>93</v>
      </c>
      <c r="D60" s="90" t="s">
        <v>415</v>
      </c>
      <c r="E60" s="92">
        <v>1</v>
      </c>
      <c r="F60" s="85"/>
      <c r="G60" s="85"/>
      <c r="H60" s="184"/>
      <c r="I60" s="377" t="s">
        <v>110</v>
      </c>
    </row>
    <row r="61" spans="1:9" s="89" customFormat="1" ht="25.15" customHeight="1" x14ac:dyDescent="0.25">
      <c r="A61" s="90">
        <v>2</v>
      </c>
      <c r="B61" s="186" t="s">
        <v>235</v>
      </c>
      <c r="C61" s="93" t="s">
        <v>93</v>
      </c>
      <c r="D61" s="90" t="s">
        <v>416</v>
      </c>
      <c r="E61" s="92">
        <v>1</v>
      </c>
      <c r="F61" s="85"/>
      <c r="G61" s="85"/>
      <c r="H61" s="184"/>
      <c r="I61" s="378"/>
    </row>
    <row r="62" spans="1:9" s="89" customFormat="1" ht="25.15" customHeight="1" x14ac:dyDescent="0.25">
      <c r="A62" s="90">
        <v>3</v>
      </c>
      <c r="B62" s="186" t="s">
        <v>312</v>
      </c>
      <c r="C62" s="93" t="s">
        <v>93</v>
      </c>
      <c r="D62" s="90" t="s">
        <v>417</v>
      </c>
      <c r="E62" s="92">
        <v>2</v>
      </c>
      <c r="F62" s="85"/>
      <c r="G62" s="85"/>
      <c r="H62" s="184"/>
      <c r="I62" s="378"/>
    </row>
    <row r="63" spans="1:9" s="89" customFormat="1" ht="25.15" customHeight="1" x14ac:dyDescent="0.25">
      <c r="A63" s="90">
        <v>4</v>
      </c>
      <c r="B63" s="186" t="s">
        <v>313</v>
      </c>
      <c r="C63" s="93" t="s">
        <v>93</v>
      </c>
      <c r="D63" s="90" t="s">
        <v>418</v>
      </c>
      <c r="E63" s="92">
        <v>1</v>
      </c>
      <c r="F63" s="85"/>
      <c r="G63" s="85"/>
      <c r="H63" s="184"/>
      <c r="I63" s="378"/>
    </row>
    <row r="64" spans="1:9" s="145" customFormat="1" ht="25.15" customHeight="1" x14ac:dyDescent="0.25">
      <c r="A64" s="90">
        <v>5</v>
      </c>
      <c r="B64" s="91" t="s">
        <v>314</v>
      </c>
      <c r="C64" s="93" t="s">
        <v>93</v>
      </c>
      <c r="D64" s="90" t="s">
        <v>419</v>
      </c>
      <c r="E64" s="92">
        <v>1</v>
      </c>
      <c r="F64" s="97"/>
      <c r="G64" s="98"/>
      <c r="H64" s="184"/>
      <c r="I64" s="383"/>
    </row>
    <row r="65" spans="1:12" s="102" customFormat="1" ht="31.5" customHeight="1" x14ac:dyDescent="0.25">
      <c r="A65" s="126"/>
      <c r="B65" s="100" t="s">
        <v>50</v>
      </c>
      <c r="C65" s="100"/>
      <c r="D65" s="100"/>
      <c r="E65" s="100"/>
      <c r="F65" s="100"/>
      <c r="G65" s="100"/>
      <c r="H65" s="158">
        <f>H49+H59</f>
        <v>0</v>
      </c>
      <c r="I65" s="101"/>
    </row>
    <row r="66" spans="1:12" ht="22.5" customHeight="1" x14ac:dyDescent="0.25">
      <c r="A66" s="127">
        <v>4</v>
      </c>
      <c r="B66" s="84" t="s">
        <v>51</v>
      </c>
      <c r="C66" s="84"/>
      <c r="D66" s="84"/>
      <c r="E66" s="84"/>
      <c r="F66" s="84"/>
      <c r="G66" s="84"/>
      <c r="H66" s="51"/>
      <c r="I66" s="51"/>
    </row>
    <row r="67" spans="1:12" s="104" customFormat="1" ht="49.5" x14ac:dyDescent="0.25">
      <c r="A67" s="103" t="s">
        <v>25</v>
      </c>
      <c r="B67" s="338" t="s">
        <v>52</v>
      </c>
      <c r="C67" s="339"/>
      <c r="D67" s="21" t="s">
        <v>29</v>
      </c>
      <c r="E67" s="21" t="s">
        <v>53</v>
      </c>
      <c r="F67" s="21" t="s">
        <v>44</v>
      </c>
      <c r="G67" s="21" t="s">
        <v>54</v>
      </c>
      <c r="H67" s="21" t="s">
        <v>45</v>
      </c>
      <c r="I67" s="21" t="s">
        <v>33</v>
      </c>
    </row>
    <row r="68" spans="1:12" ht="24.75" customHeight="1" x14ac:dyDescent="0.25">
      <c r="A68" s="105"/>
      <c r="B68" s="340"/>
      <c r="C68" s="341"/>
      <c r="D68" s="106"/>
      <c r="E68" s="105"/>
      <c r="F68" s="107"/>
      <c r="G68" s="108"/>
      <c r="H68" s="108"/>
      <c r="I68" s="109"/>
      <c r="L68" s="110"/>
    </row>
    <row r="69" spans="1:12" s="112" customFormat="1" ht="27.75" customHeight="1" x14ac:dyDescent="0.25">
      <c r="A69" s="126"/>
      <c r="B69" s="342" t="s">
        <v>34</v>
      </c>
      <c r="C69" s="343"/>
      <c r="D69" s="100"/>
      <c r="E69" s="100"/>
      <c r="F69" s="100"/>
      <c r="G69" s="100"/>
      <c r="H69" s="163">
        <f>SUM(H68)</f>
        <v>0</v>
      </c>
      <c r="I69" s="111"/>
      <c r="L69" s="113"/>
    </row>
    <row r="70" spans="1:12" s="115" customFormat="1" ht="27.75" customHeight="1" x14ac:dyDescent="0.25">
      <c r="A70" s="128">
        <v>5</v>
      </c>
      <c r="B70" s="344" t="s">
        <v>56</v>
      </c>
      <c r="C70" s="344"/>
      <c r="D70" s="344"/>
      <c r="E70" s="344"/>
      <c r="F70" s="344"/>
      <c r="G70" s="345"/>
      <c r="H70" s="164">
        <f>H69+H65+H40+H34</f>
        <v>0</v>
      </c>
      <c r="I70" s="114" t="s">
        <v>57</v>
      </c>
    </row>
    <row r="71" spans="1:12" s="117" customFormat="1" ht="17.25" x14ac:dyDescent="0.25">
      <c r="A71" s="129"/>
      <c r="B71" s="116" t="s">
        <v>78</v>
      </c>
      <c r="C71" s="346" t="s">
        <v>91</v>
      </c>
      <c r="D71" s="346"/>
      <c r="E71" s="346"/>
      <c r="F71" s="346"/>
      <c r="G71" s="346"/>
      <c r="H71" s="346"/>
      <c r="I71" s="346"/>
    </row>
    <row r="72" spans="1:12" s="41" customFormat="1" ht="17.25" hidden="1" x14ac:dyDescent="0.3">
      <c r="A72" s="39"/>
      <c r="B72" s="118"/>
      <c r="E72" s="119"/>
      <c r="F72" s="316" t="s">
        <v>75</v>
      </c>
      <c r="G72" s="316"/>
      <c r="H72" s="316"/>
      <c r="I72" s="316"/>
    </row>
    <row r="73" spans="1:12" hidden="1" x14ac:dyDescent="0.25">
      <c r="F73" s="316" t="s">
        <v>76</v>
      </c>
      <c r="G73" s="316"/>
      <c r="H73" s="316"/>
      <c r="I73" s="316"/>
    </row>
    <row r="74" spans="1:12" hidden="1" x14ac:dyDescent="0.25">
      <c r="F74" s="317"/>
      <c r="G74" s="317"/>
      <c r="H74" s="317"/>
      <c r="I74" s="317"/>
    </row>
    <row r="75" spans="1:12" hidden="1" x14ac:dyDescent="0.25"/>
    <row r="76" spans="1:12" hidden="1" x14ac:dyDescent="0.25"/>
    <row r="77" spans="1:12" hidden="1" x14ac:dyDescent="0.25"/>
    <row r="78" spans="1:12" hidden="1" x14ac:dyDescent="0.25"/>
    <row r="79" spans="1:12" hidden="1" x14ac:dyDescent="0.25"/>
    <row r="80" spans="1:12" hidden="1" x14ac:dyDescent="0.25">
      <c r="F80" s="318" t="s">
        <v>77</v>
      </c>
      <c r="G80" s="318"/>
      <c r="H80" s="318"/>
      <c r="I80" s="318"/>
    </row>
    <row r="81" spans="1:9" ht="64.5" customHeight="1" x14ac:dyDescent="0.25">
      <c r="A81" s="319" t="s">
        <v>100</v>
      </c>
      <c r="B81" s="319"/>
      <c r="C81" s="319"/>
      <c r="D81" s="319"/>
      <c r="E81" s="319"/>
      <c r="F81" s="319"/>
      <c r="G81" s="319"/>
      <c r="H81" s="319"/>
      <c r="I81" s="319"/>
    </row>
    <row r="82" spans="1:9" x14ac:dyDescent="0.25">
      <c r="A82" s="315" t="s">
        <v>102</v>
      </c>
      <c r="B82" s="315"/>
      <c r="C82" s="315"/>
      <c r="D82" s="315"/>
      <c r="E82" s="315"/>
      <c r="F82" s="315"/>
      <c r="G82" s="315"/>
      <c r="H82" s="315"/>
      <c r="I82" s="315"/>
    </row>
    <row r="83" spans="1:9" x14ac:dyDescent="0.25">
      <c r="A83" s="320" t="s">
        <v>107</v>
      </c>
      <c r="B83" s="320"/>
      <c r="C83" s="320"/>
      <c r="D83" s="321"/>
      <c r="E83" s="322" t="s">
        <v>108</v>
      </c>
      <c r="F83" s="323"/>
      <c r="G83" s="323"/>
      <c r="H83" s="323"/>
      <c r="I83" s="323"/>
    </row>
    <row r="84" spans="1:9" x14ac:dyDescent="0.25">
      <c r="A84" s="320"/>
      <c r="B84" s="320"/>
      <c r="C84" s="320"/>
      <c r="D84" s="321"/>
      <c r="E84" s="322"/>
      <c r="F84" s="323"/>
      <c r="G84" s="323"/>
      <c r="H84" s="323"/>
      <c r="I84" s="323"/>
    </row>
    <row r="85" spans="1:9" x14ac:dyDescent="0.25">
      <c r="A85" s="320"/>
      <c r="B85" s="320"/>
      <c r="C85" s="320"/>
      <c r="D85" s="321"/>
      <c r="E85" s="38"/>
      <c r="I85" s="20"/>
    </row>
    <row r="86" spans="1:9" x14ac:dyDescent="0.25">
      <c r="A86" s="315" t="s">
        <v>101</v>
      </c>
      <c r="B86" s="315"/>
      <c r="C86" s="315"/>
      <c r="D86" s="315"/>
      <c r="E86" s="315"/>
      <c r="F86" s="315"/>
      <c r="G86" s="315"/>
      <c r="H86" s="315"/>
      <c r="I86" s="315"/>
    </row>
  </sheetData>
  <mergeCells count="59">
    <mergeCell ref="I60:I64"/>
    <mergeCell ref="A5:I5"/>
    <mergeCell ref="A6:I6"/>
    <mergeCell ref="A7:I7"/>
    <mergeCell ref="B8:I8"/>
    <mergeCell ref="B9:E9"/>
    <mergeCell ref="F9:I9"/>
    <mergeCell ref="C24:I24"/>
    <mergeCell ref="F13:I13"/>
    <mergeCell ref="C10:I10"/>
    <mergeCell ref="C11:I11"/>
    <mergeCell ref="C12:E12"/>
    <mergeCell ref="C14:I14"/>
    <mergeCell ref="C15:I15"/>
    <mergeCell ref="C16:E16"/>
    <mergeCell ref="B17:I17"/>
    <mergeCell ref="E1:I1"/>
    <mergeCell ref="E2:I2"/>
    <mergeCell ref="A4:C4"/>
    <mergeCell ref="E4:I4"/>
    <mergeCell ref="A1:D1"/>
    <mergeCell ref="A2:D2"/>
    <mergeCell ref="I50:I58"/>
    <mergeCell ref="B40:C40"/>
    <mergeCell ref="A42:A44"/>
    <mergeCell ref="B42:G42"/>
    <mergeCell ref="D19:E19"/>
    <mergeCell ref="B43:G43"/>
    <mergeCell ref="C25:I25"/>
    <mergeCell ref="B26:F26"/>
    <mergeCell ref="B27:G27"/>
    <mergeCell ref="B28:I28"/>
    <mergeCell ref="B29:I29"/>
    <mergeCell ref="B34:C34"/>
    <mergeCell ref="B36:I36"/>
    <mergeCell ref="B37:C37"/>
    <mergeCell ref="B38:C38"/>
    <mergeCell ref="B39:C39"/>
    <mergeCell ref="A30:A31"/>
    <mergeCell ref="B30:I30"/>
    <mergeCell ref="B31:C31"/>
    <mergeCell ref="B32:C32"/>
    <mergeCell ref="B33:C33"/>
    <mergeCell ref="B70:G70"/>
    <mergeCell ref="B44:G44"/>
    <mergeCell ref="A86:I86"/>
    <mergeCell ref="B46:G46"/>
    <mergeCell ref="F72:I72"/>
    <mergeCell ref="F73:I73"/>
    <mergeCell ref="F74:I74"/>
    <mergeCell ref="F80:I80"/>
    <mergeCell ref="C71:I71"/>
    <mergeCell ref="A81:I81"/>
    <mergeCell ref="A82:I82"/>
    <mergeCell ref="A83:D85"/>
    <mergeCell ref="E83:I84"/>
    <mergeCell ref="B67:C67"/>
    <mergeCell ref="B68:C68"/>
    <mergeCell ref="B69:C69"/>
  </mergeCells>
  <printOptions horizontalCentered="1"/>
  <pageMargins left="0.11811023622047245" right="0.11811023622047245" top="0.19685039370078741" bottom="0.15748031496062992" header="0.19685039370078741" footer="0.15748031496062992"/>
  <pageSetup paperSize="9" scale="80" orientation="portrait"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78"/>
  <sheetViews>
    <sheetView topLeftCell="A28" workbookViewId="0">
      <selection activeCell="B33" sqref="B33:C33"/>
    </sheetView>
  </sheetViews>
  <sheetFormatPr defaultColWidth="9.140625" defaultRowHeight="16.5" x14ac:dyDescent="0.25"/>
  <cols>
    <col min="1" max="1" width="4.140625" style="68" customWidth="1"/>
    <col min="2" max="2" width="27.42578125" style="20" customWidth="1"/>
    <col min="3" max="3" width="8.42578125" style="20" customWidth="1"/>
    <col min="4" max="4" width="23.42578125" style="20" customWidth="1"/>
    <col min="5" max="5" width="10.42578125" style="23" customWidth="1"/>
    <col min="6" max="6" width="12" style="20" customWidth="1"/>
    <col min="7" max="7" width="9.42578125" style="20" customWidth="1"/>
    <col min="8" max="8" width="12.7109375" style="20" customWidth="1"/>
    <col min="9" max="9" width="15.7109375" style="120" customWidth="1"/>
    <col min="10" max="11" width="9.140625" style="20" customWidth="1"/>
    <col min="12" max="12" width="11.42578125" style="20" customWidth="1"/>
    <col min="13" max="19" width="9.140625" style="20" customWidth="1"/>
    <col min="20" max="16384" width="9.140625" style="20"/>
  </cols>
  <sheetData>
    <row r="1" spans="1:17" s="36" customFormat="1" x14ac:dyDescent="0.25">
      <c r="A1" s="368" t="s">
        <v>98</v>
      </c>
      <c r="B1" s="368"/>
      <c r="C1" s="368"/>
      <c r="D1" s="368"/>
      <c r="E1" s="368" t="s">
        <v>0</v>
      </c>
      <c r="F1" s="368"/>
      <c r="G1" s="368"/>
      <c r="H1" s="368"/>
      <c r="I1" s="368"/>
    </row>
    <row r="2" spans="1:17" s="36" customFormat="1" x14ac:dyDescent="0.25">
      <c r="A2" s="369" t="s">
        <v>99</v>
      </c>
      <c r="B2" s="369"/>
      <c r="C2" s="369"/>
      <c r="D2" s="369"/>
      <c r="E2" s="369" t="s">
        <v>1</v>
      </c>
      <c r="F2" s="368"/>
      <c r="G2" s="368"/>
      <c r="H2" s="368"/>
      <c r="I2" s="368"/>
    </row>
    <row r="3" spans="1:17" s="36" customFormat="1" ht="18.75" customHeight="1" x14ac:dyDescent="0.25">
      <c r="A3" s="39"/>
      <c r="C3" s="39"/>
      <c r="D3" s="39"/>
      <c r="E3" s="39"/>
      <c r="F3" s="39"/>
      <c r="G3" s="39"/>
      <c r="H3" s="39"/>
      <c r="I3" s="37"/>
    </row>
    <row r="4" spans="1:17" s="36" customFormat="1" x14ac:dyDescent="0.25">
      <c r="A4" s="369" t="s">
        <v>89</v>
      </c>
      <c r="B4" s="369"/>
      <c r="C4" s="369"/>
      <c r="E4" s="370" t="s">
        <v>185</v>
      </c>
      <c r="F4" s="370"/>
      <c r="G4" s="370"/>
      <c r="H4" s="370"/>
      <c r="I4" s="370"/>
    </row>
    <row r="5" spans="1:17" s="40" customFormat="1" ht="27" customHeight="1" x14ac:dyDescent="0.25">
      <c r="A5" s="371" t="s">
        <v>85</v>
      </c>
      <c r="B5" s="371"/>
      <c r="C5" s="371"/>
      <c r="D5" s="371"/>
      <c r="E5" s="371"/>
      <c r="F5" s="371"/>
      <c r="G5" s="371"/>
      <c r="H5" s="371"/>
      <c r="I5" s="371"/>
    </row>
    <row r="6" spans="1:17" s="40" customFormat="1" ht="35.25" customHeight="1" x14ac:dyDescent="0.25">
      <c r="A6" s="372" t="s">
        <v>86</v>
      </c>
      <c r="B6" s="372"/>
      <c r="C6" s="372"/>
      <c r="D6" s="372"/>
      <c r="E6" s="372"/>
      <c r="F6" s="372"/>
      <c r="G6" s="372"/>
      <c r="H6" s="372"/>
      <c r="I6" s="372"/>
      <c r="Q6" s="41"/>
    </row>
    <row r="7" spans="1:17" s="40" customFormat="1" ht="35.25" customHeight="1" x14ac:dyDescent="0.25">
      <c r="A7" s="373" t="s">
        <v>166</v>
      </c>
      <c r="B7" s="373"/>
      <c r="C7" s="373"/>
      <c r="D7" s="373"/>
      <c r="E7" s="373"/>
      <c r="F7" s="373"/>
      <c r="G7" s="373"/>
      <c r="H7" s="373"/>
      <c r="I7" s="373"/>
    </row>
    <row r="8" spans="1:17" s="42" customFormat="1" ht="25.15" customHeight="1" x14ac:dyDescent="0.25">
      <c r="A8" s="121" t="s">
        <v>2</v>
      </c>
      <c r="B8" s="362" t="s">
        <v>3</v>
      </c>
      <c r="C8" s="362"/>
      <c r="D8" s="362"/>
      <c r="E8" s="362"/>
      <c r="F8" s="362"/>
      <c r="G8" s="362"/>
      <c r="H8" s="362"/>
      <c r="I8" s="362"/>
    </row>
    <row r="9" spans="1:17" s="42" customFormat="1" ht="22.15" customHeight="1" x14ac:dyDescent="0.25">
      <c r="A9" s="121" t="s">
        <v>4</v>
      </c>
      <c r="B9" s="374" t="s">
        <v>5</v>
      </c>
      <c r="C9" s="374"/>
      <c r="D9" s="374"/>
      <c r="E9" s="374"/>
      <c r="F9" s="365" t="s">
        <v>315</v>
      </c>
      <c r="G9" s="365"/>
      <c r="H9" s="365"/>
      <c r="I9" s="365"/>
    </row>
    <row r="10" spans="1:17" s="42" customFormat="1" ht="22.15" customHeight="1" x14ac:dyDescent="0.25">
      <c r="A10" s="122"/>
      <c r="B10" s="24" t="s">
        <v>6</v>
      </c>
      <c r="C10" s="365" t="s">
        <v>225</v>
      </c>
      <c r="D10" s="365"/>
      <c r="E10" s="365"/>
      <c r="F10" s="365"/>
      <c r="G10" s="365"/>
      <c r="H10" s="365"/>
      <c r="I10" s="365"/>
    </row>
    <row r="11" spans="1:17" s="42" customFormat="1" ht="22.15" customHeight="1" x14ac:dyDescent="0.25">
      <c r="A11" s="122"/>
      <c r="B11" s="24" t="s">
        <v>7</v>
      </c>
      <c r="C11" s="365" t="str">
        <f>+C10</f>
        <v>Thôn Thanh Trì - xã Phú Nghĩa - TP Hà Nội</v>
      </c>
      <c r="D11" s="365"/>
      <c r="E11" s="365"/>
      <c r="F11" s="365"/>
      <c r="G11" s="365"/>
      <c r="H11" s="365"/>
      <c r="I11" s="365"/>
    </row>
    <row r="12" spans="1:17" s="42" customFormat="1" ht="22.15" customHeight="1" x14ac:dyDescent="0.25">
      <c r="A12" s="122"/>
      <c r="B12" s="24" t="s">
        <v>11</v>
      </c>
      <c r="C12" s="361" t="s">
        <v>316</v>
      </c>
      <c r="D12" s="361"/>
      <c r="E12" s="361"/>
      <c r="F12" s="43"/>
      <c r="G12" s="43"/>
      <c r="H12" s="43"/>
      <c r="I12" s="43"/>
    </row>
    <row r="13" spans="1:17" s="42" customFormat="1" ht="22.15" customHeight="1" x14ac:dyDescent="0.25">
      <c r="A13" s="121" t="s">
        <v>9</v>
      </c>
      <c r="B13" s="44" t="s">
        <v>10</v>
      </c>
      <c r="E13" s="43"/>
      <c r="F13" s="362" t="str">
        <f>F9</f>
        <v>Nguyễn Bá Ước - Nguyễn Thị Xuân</v>
      </c>
      <c r="G13" s="362"/>
      <c r="H13" s="362"/>
      <c r="I13" s="362"/>
      <c r="J13" s="143"/>
    </row>
    <row r="14" spans="1:17" s="42" customFormat="1" ht="22.15" customHeight="1" x14ac:dyDescent="0.25">
      <c r="A14" s="122"/>
      <c r="B14" s="24" t="s">
        <v>6</v>
      </c>
      <c r="C14" s="365" t="str">
        <f>+C10</f>
        <v>Thôn Thanh Trì - xã Phú Nghĩa - TP Hà Nội</v>
      </c>
      <c r="D14" s="365"/>
      <c r="E14" s="365"/>
      <c r="F14" s="365"/>
      <c r="G14" s="365"/>
      <c r="H14" s="365"/>
      <c r="I14" s="365"/>
    </row>
    <row r="15" spans="1:17" s="42" customFormat="1" ht="22.15" customHeight="1" x14ac:dyDescent="0.25">
      <c r="A15" s="122"/>
      <c r="B15" s="24" t="s">
        <v>7</v>
      </c>
      <c r="C15" s="365" t="str">
        <f>+C14</f>
        <v>Thôn Thanh Trì - xã Phú Nghĩa - TP Hà Nội</v>
      </c>
      <c r="D15" s="365"/>
      <c r="E15" s="365"/>
      <c r="F15" s="365"/>
      <c r="G15" s="365"/>
      <c r="H15" s="365"/>
      <c r="I15" s="365"/>
    </row>
    <row r="16" spans="1:17" s="42" customFormat="1" ht="22.15" customHeight="1" x14ac:dyDescent="0.25">
      <c r="A16" s="122"/>
      <c r="B16" s="24" t="s">
        <v>11</v>
      </c>
      <c r="C16" s="361" t="str">
        <f>+C12</f>
        <v>001065023600</v>
      </c>
      <c r="D16" s="361"/>
      <c r="E16" s="361"/>
      <c r="F16" s="43"/>
      <c r="G16" s="43"/>
      <c r="H16" s="43"/>
      <c r="I16" s="43"/>
    </row>
    <row r="17" spans="1:19" s="42" customFormat="1" ht="22.15" customHeight="1" x14ac:dyDescent="0.25">
      <c r="A17" s="121" t="s">
        <v>12</v>
      </c>
      <c r="B17" s="362" t="s">
        <v>13</v>
      </c>
      <c r="C17" s="362"/>
      <c r="D17" s="362"/>
      <c r="E17" s="362"/>
      <c r="F17" s="362"/>
      <c r="G17" s="362"/>
      <c r="H17" s="362"/>
      <c r="I17" s="362"/>
    </row>
    <row r="18" spans="1:19" s="42" customFormat="1" ht="22.15" customHeight="1" x14ac:dyDescent="0.25">
      <c r="A18" s="121" t="s">
        <v>4</v>
      </c>
      <c r="B18" s="46" t="s">
        <v>14</v>
      </c>
      <c r="E18" s="43"/>
    </row>
    <row r="19" spans="1:19" s="51" customFormat="1" ht="22.15" customHeight="1" x14ac:dyDescent="0.25">
      <c r="A19" s="123"/>
      <c r="B19" s="47" t="s">
        <v>15</v>
      </c>
      <c r="C19" s="144" t="s">
        <v>113</v>
      </c>
      <c r="D19" s="363" t="s">
        <v>16</v>
      </c>
      <c r="E19" s="363"/>
      <c r="F19" s="49" t="s">
        <v>125</v>
      </c>
      <c r="G19" s="50"/>
      <c r="I19" s="50"/>
    </row>
    <row r="20" spans="1:19" s="51" customFormat="1" ht="22.15" customHeight="1" x14ac:dyDescent="0.25">
      <c r="A20" s="123"/>
      <c r="B20" s="47" t="s">
        <v>17</v>
      </c>
      <c r="C20" s="250" t="s">
        <v>317</v>
      </c>
      <c r="D20" s="50" t="s">
        <v>105</v>
      </c>
      <c r="E20" s="53"/>
      <c r="F20" s="54"/>
      <c r="H20" s="55"/>
      <c r="I20" s="50"/>
    </row>
    <row r="21" spans="1:19" s="51" customFormat="1" ht="22.15" customHeight="1" x14ac:dyDescent="0.25">
      <c r="A21" s="123"/>
      <c r="B21" s="56" t="s">
        <v>18</v>
      </c>
      <c r="C21" s="57"/>
      <c r="D21" s="50"/>
      <c r="E21" s="53"/>
      <c r="F21" s="50"/>
      <c r="H21" s="55"/>
      <c r="I21" s="50"/>
    </row>
    <row r="22" spans="1:19" s="51" customFormat="1" ht="22.15" customHeight="1" x14ac:dyDescent="0.25">
      <c r="A22" s="123"/>
      <c r="B22" s="47" t="s">
        <v>19</v>
      </c>
      <c r="C22" s="52">
        <v>91</v>
      </c>
      <c r="D22" s="50" t="s">
        <v>105</v>
      </c>
      <c r="E22" s="53"/>
      <c r="F22" s="50"/>
      <c r="H22" s="55"/>
      <c r="I22" s="50"/>
    </row>
    <row r="23" spans="1:19" s="51" customFormat="1" ht="22.15" customHeight="1" x14ac:dyDescent="0.25">
      <c r="A23" s="123"/>
      <c r="B23" s="47" t="s">
        <v>20</v>
      </c>
      <c r="C23" s="57">
        <f>C20-C22</f>
        <v>996.7</v>
      </c>
      <c r="D23" s="50" t="s">
        <v>105</v>
      </c>
      <c r="E23" s="53"/>
      <c r="F23" s="50"/>
      <c r="H23" s="55"/>
      <c r="I23" s="50"/>
    </row>
    <row r="24" spans="1:19" s="42" customFormat="1" ht="22.15" customHeight="1" x14ac:dyDescent="0.25">
      <c r="A24" s="122"/>
      <c r="B24" s="24" t="s">
        <v>21</v>
      </c>
      <c r="C24" s="362" t="s">
        <v>225</v>
      </c>
      <c r="D24" s="362"/>
      <c r="E24" s="362"/>
      <c r="F24" s="362"/>
      <c r="G24" s="362"/>
      <c r="H24" s="362"/>
      <c r="I24" s="362"/>
    </row>
    <row r="25" spans="1:19" s="36" customFormat="1" ht="241.15" customHeight="1" x14ac:dyDescent="0.25">
      <c r="A25" s="39" t="s">
        <v>9</v>
      </c>
      <c r="B25" s="58" t="s">
        <v>73</v>
      </c>
      <c r="C25" s="366" t="s">
        <v>579</v>
      </c>
      <c r="D25" s="367"/>
      <c r="E25" s="367"/>
      <c r="F25" s="367"/>
      <c r="G25" s="367"/>
      <c r="H25" s="367"/>
      <c r="I25" s="367"/>
      <c r="J25" s="133"/>
      <c r="K25" s="133"/>
      <c r="L25" s="59"/>
      <c r="M25" s="59"/>
      <c r="N25" s="59"/>
      <c r="O25" s="59"/>
      <c r="P25" s="59"/>
      <c r="Q25" s="59"/>
      <c r="R25" s="59"/>
      <c r="S25" s="59"/>
    </row>
    <row r="26" spans="1:19" s="36" customFormat="1" ht="21" customHeight="1" x14ac:dyDescent="0.25">
      <c r="A26" s="39" t="s">
        <v>22</v>
      </c>
      <c r="B26" s="364" t="s">
        <v>82</v>
      </c>
      <c r="C26" s="364"/>
      <c r="D26" s="364"/>
      <c r="E26" s="364"/>
      <c r="F26" s="364"/>
      <c r="G26" s="60"/>
      <c r="H26" s="149" t="s">
        <v>112</v>
      </c>
      <c r="I26" s="60" t="s">
        <v>55</v>
      </c>
      <c r="J26" s="142"/>
      <c r="K26" s="142"/>
      <c r="L26" s="59"/>
      <c r="M26" s="59"/>
      <c r="N26" s="59"/>
      <c r="O26" s="59"/>
      <c r="P26" s="59"/>
      <c r="Q26" s="59"/>
      <c r="R26" s="59"/>
      <c r="S26" s="59"/>
    </row>
    <row r="27" spans="1:19" s="36" customFormat="1" ht="23.25" customHeight="1" x14ac:dyDescent="0.25">
      <c r="A27" s="39" t="s">
        <v>23</v>
      </c>
      <c r="B27" s="364" t="s">
        <v>65</v>
      </c>
      <c r="C27" s="364"/>
      <c r="D27" s="364"/>
      <c r="E27" s="364"/>
      <c r="F27" s="364"/>
      <c r="G27" s="364"/>
      <c r="H27" s="148" t="s">
        <v>113</v>
      </c>
      <c r="I27" s="60" t="s">
        <v>84</v>
      </c>
      <c r="J27" s="59"/>
      <c r="K27" s="59"/>
      <c r="L27" s="59"/>
      <c r="M27" s="59"/>
      <c r="N27" s="59"/>
      <c r="O27" s="59"/>
      <c r="P27" s="59"/>
      <c r="Q27" s="59"/>
      <c r="R27" s="59"/>
      <c r="S27" s="59"/>
    </row>
    <row r="28" spans="1:19" s="41" customFormat="1" x14ac:dyDescent="0.25">
      <c r="A28" s="39" t="s">
        <v>88</v>
      </c>
      <c r="B28" s="364" t="s">
        <v>87</v>
      </c>
      <c r="C28" s="364"/>
      <c r="D28" s="364"/>
      <c r="E28" s="364"/>
      <c r="F28" s="364"/>
      <c r="G28" s="364"/>
      <c r="H28" s="364"/>
      <c r="I28" s="364"/>
    </row>
    <row r="29" spans="1:19" s="40" customFormat="1" x14ac:dyDescent="0.25">
      <c r="A29" s="39" t="s">
        <v>4</v>
      </c>
      <c r="B29" s="360" t="s">
        <v>24</v>
      </c>
      <c r="C29" s="360"/>
      <c r="D29" s="360"/>
      <c r="E29" s="360"/>
      <c r="F29" s="360"/>
      <c r="G29" s="360"/>
      <c r="H29" s="360"/>
      <c r="I29" s="360"/>
      <c r="J29" s="41"/>
      <c r="K29" s="41"/>
      <c r="L29" s="41"/>
      <c r="M29" s="41"/>
      <c r="N29" s="41"/>
      <c r="O29" s="41"/>
      <c r="P29" s="41"/>
      <c r="Q29" s="41"/>
      <c r="R29" s="41"/>
      <c r="S29" s="41"/>
    </row>
    <row r="30" spans="1:19" s="24" customFormat="1" ht="32.25" customHeight="1" x14ac:dyDescent="0.25">
      <c r="A30" s="351" t="s">
        <v>25</v>
      </c>
      <c r="B30" s="353" t="s">
        <v>26</v>
      </c>
      <c r="C30" s="354"/>
      <c r="D30" s="354"/>
      <c r="E30" s="354"/>
      <c r="F30" s="354"/>
      <c r="G30" s="354"/>
      <c r="H30" s="354"/>
      <c r="I30" s="355"/>
    </row>
    <row r="31" spans="1:19" s="25" customFormat="1" ht="49.5" x14ac:dyDescent="0.25">
      <c r="A31" s="352"/>
      <c r="B31" s="353" t="s">
        <v>27</v>
      </c>
      <c r="C31" s="355"/>
      <c r="D31" s="21" t="s">
        <v>28</v>
      </c>
      <c r="E31" s="22" t="s">
        <v>29</v>
      </c>
      <c r="F31" s="22" t="s">
        <v>30</v>
      </c>
      <c r="G31" s="21" t="s">
        <v>31</v>
      </c>
      <c r="H31" s="22" t="s">
        <v>104</v>
      </c>
      <c r="I31" s="22" t="s">
        <v>33</v>
      </c>
    </row>
    <row r="32" spans="1:19" s="62" customFormat="1" ht="18.75" customHeight="1" x14ac:dyDescent="0.25">
      <c r="A32" s="61">
        <v>1</v>
      </c>
      <c r="B32" s="356">
        <v>2</v>
      </c>
      <c r="C32" s="357"/>
      <c r="D32" s="61">
        <v>3</v>
      </c>
      <c r="E32" s="61">
        <v>4</v>
      </c>
      <c r="F32" s="61">
        <v>5</v>
      </c>
      <c r="G32" s="61">
        <v>6</v>
      </c>
      <c r="H32" s="61">
        <v>7</v>
      </c>
      <c r="I32" s="61">
        <v>8</v>
      </c>
    </row>
    <row r="33" spans="1:9" s="68" customFormat="1" ht="34.5" customHeight="1" x14ac:dyDescent="0.25">
      <c r="A33" s="63">
        <v>1</v>
      </c>
      <c r="B33" s="358" t="s">
        <v>563</v>
      </c>
      <c r="C33" s="359"/>
      <c r="D33" s="64" t="s">
        <v>106</v>
      </c>
      <c r="E33" s="65">
        <f>C22</f>
        <v>91</v>
      </c>
      <c r="F33" s="63"/>
      <c r="G33" s="66"/>
      <c r="H33" s="166">
        <f>E33*F33*G33</f>
        <v>0</v>
      </c>
      <c r="I33" s="67"/>
    </row>
    <row r="34" spans="1:9" s="71" customFormat="1" ht="30.75" customHeight="1" x14ac:dyDescent="0.25">
      <c r="A34" s="69"/>
      <c r="B34" s="349" t="s">
        <v>34</v>
      </c>
      <c r="C34" s="350"/>
      <c r="D34" s="69"/>
      <c r="E34" s="69"/>
      <c r="F34" s="69"/>
      <c r="G34" s="69"/>
      <c r="H34" s="169">
        <f>SUM(H33:H33)</f>
        <v>0</v>
      </c>
      <c r="I34" s="69"/>
    </row>
    <row r="35" spans="1:9" ht="9.75" customHeight="1" x14ac:dyDescent="0.25">
      <c r="A35" s="77"/>
      <c r="B35" s="72"/>
      <c r="C35" s="72"/>
      <c r="D35" s="73"/>
      <c r="E35" s="73"/>
      <c r="F35" s="73"/>
      <c r="G35" s="73"/>
      <c r="H35" s="73"/>
      <c r="I35" s="73"/>
    </row>
    <row r="36" spans="1:9" x14ac:dyDescent="0.25">
      <c r="A36" s="75" t="s">
        <v>9</v>
      </c>
      <c r="B36" s="360" t="s">
        <v>35</v>
      </c>
      <c r="C36" s="360"/>
      <c r="D36" s="360"/>
      <c r="E36" s="360"/>
      <c r="F36" s="360"/>
      <c r="G36" s="360"/>
      <c r="H36" s="360"/>
      <c r="I36" s="360"/>
    </row>
    <row r="37" spans="1:9" s="23" customFormat="1" ht="49.5" x14ac:dyDescent="0.25">
      <c r="A37" s="29" t="s">
        <v>25</v>
      </c>
      <c r="B37" s="353" t="s">
        <v>27</v>
      </c>
      <c r="C37" s="355"/>
      <c r="D37" s="21" t="s">
        <v>28</v>
      </c>
      <c r="E37" s="22" t="s">
        <v>29</v>
      </c>
      <c r="F37" s="22" t="s">
        <v>30</v>
      </c>
      <c r="G37" s="21" t="s">
        <v>31</v>
      </c>
      <c r="H37" s="22" t="s">
        <v>32</v>
      </c>
      <c r="I37" s="22" t="s">
        <v>33</v>
      </c>
    </row>
    <row r="38" spans="1:9" s="62" customFormat="1" ht="18" customHeight="1" x14ac:dyDescent="0.25">
      <c r="A38" s="61">
        <v>1</v>
      </c>
      <c r="B38" s="356">
        <v>2</v>
      </c>
      <c r="C38" s="357"/>
      <c r="D38" s="61">
        <v>3</v>
      </c>
      <c r="E38" s="61">
        <v>4</v>
      </c>
      <c r="F38" s="61">
        <v>5</v>
      </c>
      <c r="G38" s="61">
        <v>6</v>
      </c>
      <c r="H38" s="61">
        <v>7</v>
      </c>
      <c r="I38" s="61">
        <v>8</v>
      </c>
    </row>
    <row r="39" spans="1:9" ht="33" customHeight="1" x14ac:dyDescent="0.25">
      <c r="A39" s="26">
        <v>1</v>
      </c>
      <c r="B39" s="353"/>
      <c r="C39" s="355"/>
      <c r="D39" s="27"/>
      <c r="E39" s="22"/>
      <c r="F39" s="27"/>
      <c r="G39" s="27"/>
      <c r="H39" s="27"/>
      <c r="I39" s="26" t="s">
        <v>36</v>
      </c>
    </row>
    <row r="40" spans="1:9" s="71" customFormat="1" ht="25.5" customHeight="1" x14ac:dyDescent="0.25">
      <c r="A40" s="69"/>
      <c r="B40" s="349" t="s">
        <v>34</v>
      </c>
      <c r="C40" s="350"/>
      <c r="D40" s="74"/>
      <c r="E40" s="69"/>
      <c r="F40" s="74"/>
      <c r="G40" s="74"/>
      <c r="H40" s="74"/>
      <c r="I40" s="69"/>
    </row>
    <row r="41" spans="1:9" x14ac:dyDescent="0.25">
      <c r="A41" s="124"/>
      <c r="B41" s="75"/>
      <c r="C41" s="75"/>
      <c r="D41" s="76"/>
      <c r="E41" s="75"/>
      <c r="F41" s="76"/>
      <c r="G41" s="76"/>
      <c r="H41" s="76"/>
      <c r="I41" s="75"/>
    </row>
    <row r="42" spans="1:9" x14ac:dyDescent="0.25">
      <c r="A42" s="324"/>
      <c r="B42" s="327" t="s">
        <v>37</v>
      </c>
      <c r="C42" s="328"/>
      <c r="D42" s="328"/>
      <c r="E42" s="328"/>
      <c r="F42" s="328"/>
      <c r="G42" s="329"/>
      <c r="H42" s="27"/>
      <c r="I42" s="26" t="s">
        <v>74</v>
      </c>
    </row>
    <row r="43" spans="1:9" x14ac:dyDescent="0.25">
      <c r="A43" s="325"/>
      <c r="B43" s="330" t="s">
        <v>38</v>
      </c>
      <c r="C43" s="331"/>
      <c r="D43" s="331"/>
      <c r="E43" s="331"/>
      <c r="F43" s="331"/>
      <c r="G43" s="332"/>
      <c r="H43" s="27"/>
      <c r="I43" s="26" t="s">
        <v>74</v>
      </c>
    </row>
    <row r="44" spans="1:9" x14ac:dyDescent="0.25">
      <c r="A44" s="326"/>
      <c r="B44" s="333" t="s">
        <v>39</v>
      </c>
      <c r="C44" s="334"/>
      <c r="D44" s="334"/>
      <c r="E44" s="334"/>
      <c r="F44" s="334"/>
      <c r="G44" s="335"/>
      <c r="H44" s="27"/>
      <c r="I44" s="26" t="s">
        <v>74</v>
      </c>
    </row>
    <row r="45" spans="1:9" ht="11.25" customHeight="1" x14ac:dyDescent="0.25">
      <c r="A45" s="77"/>
      <c r="B45" s="72"/>
      <c r="C45" s="72"/>
      <c r="D45" s="72"/>
      <c r="E45" s="78"/>
      <c r="F45" s="72"/>
      <c r="G45" s="72"/>
      <c r="H45" s="79"/>
      <c r="I45" s="185"/>
    </row>
    <row r="46" spans="1:9" s="24" customFormat="1" ht="24" customHeight="1" x14ac:dyDescent="0.25">
      <c r="A46" s="125" t="s">
        <v>22</v>
      </c>
      <c r="B46" s="376" t="s">
        <v>40</v>
      </c>
      <c r="C46" s="376"/>
      <c r="D46" s="376"/>
      <c r="E46" s="376"/>
      <c r="F46" s="376"/>
      <c r="G46" s="376"/>
      <c r="H46" s="80"/>
      <c r="I46" s="81"/>
    </row>
    <row r="47" spans="1:9" s="44" customFormat="1" ht="49.5" x14ac:dyDescent="0.25">
      <c r="A47" s="21" t="s">
        <v>25</v>
      </c>
      <c r="B47" s="21" t="s">
        <v>41</v>
      </c>
      <c r="C47" s="21" t="s">
        <v>28</v>
      </c>
      <c r="D47" s="21" t="s">
        <v>42</v>
      </c>
      <c r="E47" s="21" t="s">
        <v>43</v>
      </c>
      <c r="F47" s="21" t="s">
        <v>44</v>
      </c>
      <c r="G47" s="21" t="s">
        <v>31</v>
      </c>
      <c r="H47" s="21" t="s">
        <v>45</v>
      </c>
      <c r="I47" s="21" t="s">
        <v>33</v>
      </c>
    </row>
    <row r="48" spans="1:9" s="225" customFormat="1" ht="18" customHeight="1" x14ac:dyDescent="0.25">
      <c r="A48" s="82">
        <v>1</v>
      </c>
      <c r="B48" s="82">
        <v>2</v>
      </c>
      <c r="C48" s="82">
        <v>3</v>
      </c>
      <c r="D48" s="82">
        <v>4</v>
      </c>
      <c r="E48" s="82">
        <v>5</v>
      </c>
      <c r="F48" s="82">
        <v>6</v>
      </c>
      <c r="G48" s="82">
        <v>7</v>
      </c>
      <c r="H48" s="82">
        <v>8</v>
      </c>
      <c r="I48" s="82">
        <v>9</v>
      </c>
    </row>
    <row r="49" spans="1:12" s="227" customFormat="1" ht="30" customHeight="1" x14ac:dyDescent="0.25">
      <c r="A49" s="21" t="s">
        <v>46</v>
      </c>
      <c r="B49" s="84" t="s">
        <v>47</v>
      </c>
      <c r="C49" s="138"/>
      <c r="D49" s="138"/>
      <c r="E49" s="226"/>
      <c r="F49" s="138"/>
      <c r="G49" s="138"/>
      <c r="H49" s="157">
        <f>SUM(H50:H54)</f>
        <v>0</v>
      </c>
      <c r="I49" s="88"/>
    </row>
    <row r="50" spans="1:12" s="227" customFormat="1" ht="31.9" customHeight="1" x14ac:dyDescent="0.25">
      <c r="A50" s="90">
        <v>1</v>
      </c>
      <c r="B50" s="88" t="s">
        <v>90</v>
      </c>
      <c r="C50" s="64" t="s">
        <v>106</v>
      </c>
      <c r="D50" s="90" t="s">
        <v>318</v>
      </c>
      <c r="E50" s="231">
        <f>7.49*8.8</f>
        <v>65.912000000000006</v>
      </c>
      <c r="F50" s="90"/>
      <c r="G50" s="90"/>
      <c r="H50" s="224"/>
      <c r="I50" s="347" t="s">
        <v>110</v>
      </c>
    </row>
    <row r="51" spans="1:12" s="227" customFormat="1" ht="25.15" customHeight="1" x14ac:dyDescent="0.25">
      <c r="A51" s="90">
        <v>2</v>
      </c>
      <c r="B51" s="88" t="s">
        <v>96</v>
      </c>
      <c r="C51" s="64" t="s">
        <v>106</v>
      </c>
      <c r="D51" s="90" t="s">
        <v>319</v>
      </c>
      <c r="E51" s="231">
        <f>7.49*0.8</f>
        <v>5.9920000000000009</v>
      </c>
      <c r="F51" s="90"/>
      <c r="G51" s="90"/>
      <c r="H51" s="224"/>
      <c r="I51" s="348"/>
    </row>
    <row r="52" spans="1:12" s="227" customFormat="1" ht="76.150000000000006" customHeight="1" x14ac:dyDescent="0.25">
      <c r="A52" s="90">
        <v>3</v>
      </c>
      <c r="B52" s="88" t="s">
        <v>320</v>
      </c>
      <c r="C52" s="64" t="s">
        <v>106</v>
      </c>
      <c r="D52" s="96" t="s">
        <v>420</v>
      </c>
      <c r="E52" s="231">
        <f>14.87 + 4.49 + 11.58 + 134.67</f>
        <v>165.60999999999999</v>
      </c>
      <c r="F52" s="90"/>
      <c r="G52" s="90"/>
      <c r="H52" s="224"/>
      <c r="I52" s="348"/>
    </row>
    <row r="53" spans="1:12" s="227" customFormat="1" ht="36" customHeight="1" x14ac:dyDescent="0.25">
      <c r="A53" s="90"/>
      <c r="B53" s="136" t="s">
        <v>109</v>
      </c>
      <c r="C53" s="64" t="s">
        <v>106</v>
      </c>
      <c r="D53" s="96" t="s">
        <v>321</v>
      </c>
      <c r="E53" s="234">
        <v>91</v>
      </c>
      <c r="F53" s="90"/>
      <c r="G53" s="90"/>
      <c r="H53" s="224"/>
      <c r="I53" s="348"/>
    </row>
    <row r="54" spans="1:12" s="227" customFormat="1" ht="36" customHeight="1" x14ac:dyDescent="0.25">
      <c r="A54" s="90"/>
      <c r="B54" s="136" t="s">
        <v>120</v>
      </c>
      <c r="C54" s="64" t="s">
        <v>106</v>
      </c>
      <c r="D54" s="96" t="s">
        <v>411</v>
      </c>
      <c r="E54" s="234">
        <f>E52-E53</f>
        <v>74.609999999999985</v>
      </c>
      <c r="F54" s="90"/>
      <c r="G54" s="90"/>
      <c r="H54" s="224"/>
      <c r="I54" s="348"/>
    </row>
    <row r="55" spans="1:12" s="227" customFormat="1" ht="25.5" customHeight="1" x14ac:dyDescent="0.25">
      <c r="A55" s="21" t="s">
        <v>48</v>
      </c>
      <c r="B55" s="84" t="s">
        <v>49</v>
      </c>
      <c r="C55" s="138"/>
      <c r="D55" s="138"/>
      <c r="E55" s="92"/>
      <c r="F55" s="138"/>
      <c r="G55" s="138"/>
      <c r="H55" s="157">
        <f>SUM(H56:H56)</f>
        <v>0</v>
      </c>
      <c r="I55" s="95"/>
    </row>
    <row r="56" spans="1:12" s="227" customFormat="1" ht="27.75" customHeight="1" x14ac:dyDescent="0.25">
      <c r="A56" s="90">
        <v>1</v>
      </c>
      <c r="B56" s="186" t="s">
        <v>322</v>
      </c>
      <c r="C56" s="93" t="s">
        <v>93</v>
      </c>
      <c r="D56" s="90" t="s">
        <v>323</v>
      </c>
      <c r="E56" s="92">
        <v>1</v>
      </c>
      <c r="F56" s="138"/>
      <c r="G56" s="138"/>
      <c r="H56" s="157"/>
      <c r="I56" s="156"/>
    </row>
    <row r="57" spans="1:12" s="230" customFormat="1" ht="31.5" customHeight="1" x14ac:dyDescent="0.25">
      <c r="A57" s="228"/>
      <c r="B57" s="100" t="s">
        <v>50</v>
      </c>
      <c r="C57" s="100"/>
      <c r="D57" s="100"/>
      <c r="E57" s="100"/>
      <c r="F57" s="100"/>
      <c r="G57" s="100"/>
      <c r="H57" s="158">
        <f>H49+H55</f>
        <v>0</v>
      </c>
      <c r="I57" s="229"/>
    </row>
    <row r="58" spans="1:12" ht="22.5" customHeight="1" x14ac:dyDescent="0.25">
      <c r="A58" s="127">
        <v>4</v>
      </c>
      <c r="B58" s="337" t="s">
        <v>51</v>
      </c>
      <c r="C58" s="337"/>
      <c r="D58" s="337"/>
      <c r="E58" s="337"/>
      <c r="F58" s="337"/>
      <c r="G58" s="337"/>
      <c r="H58" s="51"/>
      <c r="I58" s="51"/>
    </row>
    <row r="59" spans="1:12" s="104" customFormat="1" ht="49.5" x14ac:dyDescent="0.25">
      <c r="A59" s="103" t="s">
        <v>25</v>
      </c>
      <c r="B59" s="338" t="s">
        <v>52</v>
      </c>
      <c r="C59" s="339"/>
      <c r="D59" s="21" t="s">
        <v>29</v>
      </c>
      <c r="E59" s="21" t="s">
        <v>53</v>
      </c>
      <c r="F59" s="21" t="s">
        <v>44</v>
      </c>
      <c r="G59" s="21" t="s">
        <v>54</v>
      </c>
      <c r="H59" s="21" t="s">
        <v>45</v>
      </c>
      <c r="I59" s="21" t="s">
        <v>33</v>
      </c>
    </row>
    <row r="60" spans="1:12" ht="27" customHeight="1" x14ac:dyDescent="0.25">
      <c r="A60" s="105"/>
      <c r="B60" s="340"/>
      <c r="C60" s="341"/>
      <c r="D60" s="106"/>
      <c r="E60" s="105"/>
      <c r="F60" s="107"/>
      <c r="G60" s="108"/>
      <c r="H60" s="108"/>
      <c r="I60" s="109"/>
      <c r="L60" s="110"/>
    </row>
    <row r="61" spans="1:12" s="112" customFormat="1" ht="27.75" customHeight="1" x14ac:dyDescent="0.25">
      <c r="A61" s="126"/>
      <c r="B61" s="342" t="s">
        <v>34</v>
      </c>
      <c r="C61" s="343"/>
      <c r="D61" s="100"/>
      <c r="E61" s="100"/>
      <c r="F61" s="100"/>
      <c r="G61" s="100"/>
      <c r="H61" s="163">
        <f>SUM(H60)</f>
        <v>0</v>
      </c>
      <c r="I61" s="111"/>
      <c r="L61" s="113"/>
    </row>
    <row r="62" spans="1:12" s="115" customFormat="1" ht="27.75" customHeight="1" x14ac:dyDescent="0.25">
      <c r="A62" s="128">
        <v>5</v>
      </c>
      <c r="B62" s="344" t="s">
        <v>56</v>
      </c>
      <c r="C62" s="344"/>
      <c r="D62" s="344"/>
      <c r="E62" s="344"/>
      <c r="F62" s="344"/>
      <c r="G62" s="345"/>
      <c r="H62" s="164">
        <f>H61+H57+H40+H34</f>
        <v>0</v>
      </c>
      <c r="I62" s="114" t="s">
        <v>57</v>
      </c>
    </row>
    <row r="63" spans="1:12" s="117" customFormat="1" ht="17.25" x14ac:dyDescent="0.25">
      <c r="A63" s="129"/>
      <c r="B63" s="116" t="s">
        <v>78</v>
      </c>
      <c r="C63" s="346" t="s">
        <v>91</v>
      </c>
      <c r="D63" s="346"/>
      <c r="E63" s="346"/>
      <c r="F63" s="346"/>
      <c r="G63" s="346"/>
      <c r="H63" s="346"/>
      <c r="I63" s="346"/>
    </row>
    <row r="64" spans="1:12" s="41" customFormat="1" ht="17.25" hidden="1" x14ac:dyDescent="0.3">
      <c r="A64" s="39"/>
      <c r="B64" s="118"/>
      <c r="E64" s="119"/>
      <c r="F64" s="316" t="s">
        <v>75</v>
      </c>
      <c r="G64" s="316"/>
      <c r="H64" s="316"/>
      <c r="I64" s="316"/>
    </row>
    <row r="65" spans="1:9" hidden="1" x14ac:dyDescent="0.25">
      <c r="F65" s="316" t="s">
        <v>76</v>
      </c>
      <c r="G65" s="316"/>
      <c r="H65" s="316"/>
      <c r="I65" s="316"/>
    </row>
    <row r="66" spans="1:9" hidden="1" x14ac:dyDescent="0.25">
      <c r="F66" s="317"/>
      <c r="G66" s="317"/>
      <c r="H66" s="317"/>
      <c r="I66" s="317"/>
    </row>
    <row r="67" spans="1:9" hidden="1" x14ac:dyDescent="0.25"/>
    <row r="68" spans="1:9" hidden="1" x14ac:dyDescent="0.25"/>
    <row r="69" spans="1:9" hidden="1" x14ac:dyDescent="0.25"/>
    <row r="70" spans="1:9" hidden="1" x14ac:dyDescent="0.25"/>
    <row r="71" spans="1:9" hidden="1" x14ac:dyDescent="0.25"/>
    <row r="72" spans="1:9" hidden="1" x14ac:dyDescent="0.25">
      <c r="F72" s="318" t="s">
        <v>77</v>
      </c>
      <c r="G72" s="318"/>
      <c r="H72" s="318"/>
      <c r="I72" s="318"/>
    </row>
    <row r="73" spans="1:9" ht="60" customHeight="1" x14ac:dyDescent="0.25">
      <c r="A73" s="319" t="s">
        <v>100</v>
      </c>
      <c r="B73" s="319"/>
      <c r="C73" s="319"/>
      <c r="D73" s="319"/>
      <c r="E73" s="319"/>
      <c r="F73" s="319"/>
      <c r="G73" s="319"/>
      <c r="H73" s="319"/>
      <c r="I73" s="319"/>
    </row>
    <row r="74" spans="1:9" x14ac:dyDescent="0.25">
      <c r="A74" s="315" t="s">
        <v>102</v>
      </c>
      <c r="B74" s="315"/>
      <c r="C74" s="315"/>
      <c r="D74" s="315"/>
      <c r="E74" s="315"/>
      <c r="F74" s="315"/>
      <c r="G74" s="315"/>
      <c r="H74" s="315"/>
      <c r="I74" s="315"/>
    </row>
    <row r="75" spans="1:9" x14ac:dyDescent="0.25">
      <c r="A75" s="320" t="s">
        <v>107</v>
      </c>
      <c r="B75" s="320"/>
      <c r="C75" s="320"/>
      <c r="D75" s="321"/>
      <c r="E75" s="322" t="s">
        <v>108</v>
      </c>
      <c r="F75" s="323"/>
      <c r="G75" s="323"/>
      <c r="H75" s="323"/>
      <c r="I75" s="323"/>
    </row>
    <row r="76" spans="1:9" x14ac:dyDescent="0.25">
      <c r="A76" s="320"/>
      <c r="B76" s="320"/>
      <c r="C76" s="320"/>
      <c r="D76" s="321"/>
      <c r="E76" s="322"/>
      <c r="F76" s="323"/>
      <c r="G76" s="323"/>
      <c r="H76" s="323"/>
      <c r="I76" s="323"/>
    </row>
    <row r="77" spans="1:9" x14ac:dyDescent="0.25">
      <c r="A77" s="320"/>
      <c r="B77" s="320"/>
      <c r="C77" s="320"/>
      <c r="D77" s="321"/>
      <c r="E77" s="38"/>
      <c r="I77" s="20"/>
    </row>
    <row r="78" spans="1:9" x14ac:dyDescent="0.25">
      <c r="A78" s="315" t="s">
        <v>101</v>
      </c>
      <c r="B78" s="315"/>
      <c r="C78" s="315"/>
      <c r="D78" s="315"/>
      <c r="E78" s="315"/>
      <c r="F78" s="315"/>
      <c r="G78" s="315"/>
      <c r="H78" s="315"/>
      <c r="I78" s="315"/>
    </row>
  </sheetData>
  <mergeCells count="59">
    <mergeCell ref="A1:D1"/>
    <mergeCell ref="E1:I1"/>
    <mergeCell ref="A2:D2"/>
    <mergeCell ref="E2:I2"/>
    <mergeCell ref="A4:C4"/>
    <mergeCell ref="E4:I4"/>
    <mergeCell ref="A5:I5"/>
    <mergeCell ref="A6:I6"/>
    <mergeCell ref="A7:I7"/>
    <mergeCell ref="B8:I8"/>
    <mergeCell ref="B9:E9"/>
    <mergeCell ref="F9:I9"/>
    <mergeCell ref="B26:F26"/>
    <mergeCell ref="C10:I10"/>
    <mergeCell ref="C11:I11"/>
    <mergeCell ref="C12:E12"/>
    <mergeCell ref="F13:I13"/>
    <mergeCell ref="C14:I14"/>
    <mergeCell ref="C15:I15"/>
    <mergeCell ref="C16:E16"/>
    <mergeCell ref="B17:I17"/>
    <mergeCell ref="D19:E19"/>
    <mergeCell ref="C24:I24"/>
    <mergeCell ref="C25:I25"/>
    <mergeCell ref="B27:G27"/>
    <mergeCell ref="B28:I28"/>
    <mergeCell ref="B29:I29"/>
    <mergeCell ref="A30:A31"/>
    <mergeCell ref="B30:I30"/>
    <mergeCell ref="B31:C31"/>
    <mergeCell ref="A42:A44"/>
    <mergeCell ref="B42:G42"/>
    <mergeCell ref="B43:G43"/>
    <mergeCell ref="B44:G44"/>
    <mergeCell ref="B32:C32"/>
    <mergeCell ref="B33:C33"/>
    <mergeCell ref="B34:C34"/>
    <mergeCell ref="B36:I36"/>
    <mergeCell ref="B37:C37"/>
    <mergeCell ref="B38:C38"/>
    <mergeCell ref="B46:G46"/>
    <mergeCell ref="B58:G58"/>
    <mergeCell ref="B59:C59"/>
    <mergeCell ref="B60:C60"/>
    <mergeCell ref="B39:C39"/>
    <mergeCell ref="B40:C40"/>
    <mergeCell ref="A78:I78"/>
    <mergeCell ref="B61:C61"/>
    <mergeCell ref="B62:G62"/>
    <mergeCell ref="C63:I63"/>
    <mergeCell ref="F64:I64"/>
    <mergeCell ref="F65:I65"/>
    <mergeCell ref="F66:I66"/>
    <mergeCell ref="I50:I54"/>
    <mergeCell ref="F72:I72"/>
    <mergeCell ref="A73:I73"/>
    <mergeCell ref="A74:I74"/>
    <mergeCell ref="A75:D77"/>
    <mergeCell ref="E75:I76"/>
  </mergeCells>
  <printOptions horizontalCentered="1"/>
  <pageMargins left="0.11811023622047245" right="0.11811023622047245" top="0.19685039370078741" bottom="0.15748031496062992" header="0.19685039370078741" footer="0.15748031496062992"/>
  <pageSetup paperSize="9" scale="80" orientation="portrait" r:id="rId1"/>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80"/>
  <sheetViews>
    <sheetView topLeftCell="A28" zoomScaleNormal="100" workbookViewId="0">
      <selection activeCell="B33" sqref="B33:C33"/>
    </sheetView>
  </sheetViews>
  <sheetFormatPr defaultColWidth="9.140625" defaultRowHeight="16.5" x14ac:dyDescent="0.25"/>
  <cols>
    <col min="1" max="1" width="4.140625" style="68" customWidth="1"/>
    <col min="2" max="2" width="27.140625" style="20" customWidth="1"/>
    <col min="3" max="3" width="8.7109375" style="20" customWidth="1"/>
    <col min="4" max="4" width="24.140625" style="20" customWidth="1"/>
    <col min="5" max="5" width="9.7109375" style="23" customWidth="1"/>
    <col min="6" max="6" width="12.140625" style="20" customWidth="1"/>
    <col min="7" max="7" width="9.42578125" style="20" customWidth="1"/>
    <col min="8" max="8" width="12.7109375" style="20" customWidth="1"/>
    <col min="9" max="9" width="16" style="120" customWidth="1"/>
    <col min="10" max="11" width="9.140625" style="20" customWidth="1"/>
    <col min="12" max="12" width="11.42578125" style="20" customWidth="1"/>
    <col min="13" max="19" width="9.140625" style="20" customWidth="1"/>
    <col min="20" max="16384" width="9.140625" style="20"/>
  </cols>
  <sheetData>
    <row r="1" spans="1:17" s="36" customFormat="1" x14ac:dyDescent="0.25">
      <c r="A1" s="368" t="s">
        <v>98</v>
      </c>
      <c r="B1" s="368"/>
      <c r="C1" s="368"/>
      <c r="D1" s="368"/>
      <c r="E1" s="368" t="s">
        <v>0</v>
      </c>
      <c r="F1" s="368"/>
      <c r="G1" s="368"/>
      <c r="H1" s="368"/>
      <c r="I1" s="368"/>
    </row>
    <row r="2" spans="1:17" s="36" customFormat="1" x14ac:dyDescent="0.25">
      <c r="A2" s="369" t="s">
        <v>99</v>
      </c>
      <c r="B2" s="369"/>
      <c r="C2" s="369"/>
      <c r="D2" s="369"/>
      <c r="E2" s="369" t="s">
        <v>1</v>
      </c>
      <c r="F2" s="368"/>
      <c r="G2" s="368"/>
      <c r="H2" s="368"/>
      <c r="I2" s="368"/>
    </row>
    <row r="3" spans="1:17" s="36" customFormat="1" ht="15.75" customHeight="1" x14ac:dyDescent="0.25">
      <c r="A3" s="39"/>
      <c r="C3" s="39"/>
      <c r="D3" s="39"/>
      <c r="E3" s="39"/>
      <c r="F3" s="39"/>
      <c r="G3" s="39"/>
      <c r="H3" s="39"/>
      <c r="I3" s="37"/>
    </row>
    <row r="4" spans="1:17" s="36" customFormat="1" ht="26.25" customHeight="1" x14ac:dyDescent="0.25">
      <c r="A4" s="369" t="s">
        <v>89</v>
      </c>
      <c r="B4" s="369"/>
      <c r="C4" s="369"/>
      <c r="D4" s="369"/>
      <c r="E4" s="370" t="s">
        <v>185</v>
      </c>
      <c r="F4" s="370"/>
      <c r="G4" s="370"/>
      <c r="H4" s="370"/>
      <c r="I4" s="370"/>
    </row>
    <row r="5" spans="1:17" s="40" customFormat="1" ht="18.75" customHeight="1" x14ac:dyDescent="0.25">
      <c r="A5" s="371" t="s">
        <v>85</v>
      </c>
      <c r="B5" s="371"/>
      <c r="C5" s="371"/>
      <c r="D5" s="371"/>
      <c r="E5" s="371"/>
      <c r="F5" s="371"/>
      <c r="G5" s="371"/>
      <c r="H5" s="371"/>
      <c r="I5" s="371"/>
    </row>
    <row r="6" spans="1:17" s="40" customFormat="1" ht="40.5" customHeight="1" x14ac:dyDescent="0.25">
      <c r="A6" s="372" t="s">
        <v>86</v>
      </c>
      <c r="B6" s="372"/>
      <c r="C6" s="372"/>
      <c r="D6" s="372"/>
      <c r="E6" s="372"/>
      <c r="F6" s="372"/>
      <c r="G6" s="372"/>
      <c r="H6" s="372"/>
      <c r="I6" s="372"/>
      <c r="Q6" s="41"/>
    </row>
    <row r="7" spans="1:17" s="40" customFormat="1" ht="24" customHeight="1" x14ac:dyDescent="0.25">
      <c r="A7" s="373" t="s">
        <v>166</v>
      </c>
      <c r="B7" s="373"/>
      <c r="C7" s="373"/>
      <c r="D7" s="373"/>
      <c r="E7" s="373"/>
      <c r="F7" s="373"/>
      <c r="G7" s="373"/>
      <c r="H7" s="373"/>
      <c r="I7" s="373"/>
    </row>
    <row r="8" spans="1:17" s="42" customFormat="1" ht="19.899999999999999" customHeight="1" x14ac:dyDescent="0.25">
      <c r="A8" s="121" t="s">
        <v>2</v>
      </c>
      <c r="B8" s="362" t="s">
        <v>3</v>
      </c>
      <c r="C8" s="362"/>
      <c r="D8" s="362"/>
      <c r="E8" s="362"/>
      <c r="F8" s="362"/>
      <c r="G8" s="362"/>
      <c r="H8" s="362"/>
      <c r="I8" s="362"/>
    </row>
    <row r="9" spans="1:17" s="42" customFormat="1" ht="19.899999999999999" customHeight="1" x14ac:dyDescent="0.25">
      <c r="A9" s="121" t="s">
        <v>4</v>
      </c>
      <c r="B9" s="374" t="s">
        <v>5</v>
      </c>
      <c r="C9" s="374"/>
      <c r="D9" s="374"/>
      <c r="E9" s="374"/>
      <c r="F9" s="365" t="s">
        <v>324</v>
      </c>
      <c r="G9" s="365"/>
      <c r="H9" s="365"/>
      <c r="I9" s="365"/>
    </row>
    <row r="10" spans="1:17" s="42" customFormat="1" ht="19.899999999999999" customHeight="1" x14ac:dyDescent="0.25">
      <c r="A10" s="122"/>
      <c r="B10" s="24" t="s">
        <v>6</v>
      </c>
      <c r="C10" s="365" t="s">
        <v>146</v>
      </c>
      <c r="D10" s="365"/>
      <c r="E10" s="365"/>
      <c r="F10" s="365"/>
      <c r="G10" s="365"/>
      <c r="H10" s="365"/>
      <c r="I10" s="365"/>
    </row>
    <row r="11" spans="1:17" s="42" customFormat="1" ht="19.899999999999999" customHeight="1" x14ac:dyDescent="0.25">
      <c r="A11" s="122"/>
      <c r="B11" s="24" t="s">
        <v>7</v>
      </c>
      <c r="C11" s="365" t="s">
        <v>326</v>
      </c>
      <c r="D11" s="365"/>
      <c r="E11" s="365"/>
      <c r="F11" s="365"/>
      <c r="G11" s="365"/>
      <c r="H11" s="365"/>
      <c r="I11" s="365"/>
    </row>
    <row r="12" spans="1:17" s="42" customFormat="1" ht="19.899999999999999" customHeight="1" x14ac:dyDescent="0.25">
      <c r="A12" s="122"/>
      <c r="B12" s="24" t="s">
        <v>11</v>
      </c>
      <c r="C12" s="361" t="s">
        <v>325</v>
      </c>
      <c r="D12" s="361"/>
      <c r="E12" s="361"/>
      <c r="F12" s="43"/>
      <c r="G12" s="43"/>
      <c r="H12" s="43"/>
      <c r="I12" s="43"/>
    </row>
    <row r="13" spans="1:17" s="42" customFormat="1" ht="19.899999999999999" customHeight="1" x14ac:dyDescent="0.25">
      <c r="A13" s="121" t="s">
        <v>9</v>
      </c>
      <c r="B13" s="44" t="s">
        <v>10</v>
      </c>
      <c r="E13" s="43"/>
      <c r="F13" s="362" t="str">
        <f>F9</f>
        <v>Trần Trọng Hùng - Nguyễn Thị Minh</v>
      </c>
      <c r="G13" s="362"/>
      <c r="H13" s="362"/>
      <c r="I13" s="362"/>
      <c r="J13" s="143"/>
    </row>
    <row r="14" spans="1:17" s="42" customFormat="1" ht="19.899999999999999" customHeight="1" x14ac:dyDescent="0.25">
      <c r="A14" s="122"/>
      <c r="B14" s="24" t="s">
        <v>6</v>
      </c>
      <c r="C14" s="365" t="str">
        <f>+C10</f>
        <v>Thôn Phố Gốt - xã Phú Nghĩa - TP Hà Nội</v>
      </c>
      <c r="D14" s="365"/>
      <c r="E14" s="365"/>
      <c r="F14" s="365"/>
      <c r="G14" s="365"/>
      <c r="H14" s="365"/>
      <c r="I14" s="365"/>
    </row>
    <row r="15" spans="1:17" s="42" customFormat="1" ht="19.899999999999999" customHeight="1" x14ac:dyDescent="0.25">
      <c r="A15" s="122"/>
      <c r="B15" s="24" t="s">
        <v>7</v>
      </c>
      <c r="C15" s="365" t="str">
        <f>C11</f>
        <v>Thôn Chi Nê - xã Phú Nghĩa - TP Hà Nội</v>
      </c>
      <c r="D15" s="365"/>
      <c r="E15" s="365"/>
      <c r="F15" s="365"/>
      <c r="G15" s="365"/>
      <c r="H15" s="365"/>
      <c r="I15" s="365"/>
    </row>
    <row r="16" spans="1:17" s="42" customFormat="1" ht="19.899999999999999" customHeight="1" x14ac:dyDescent="0.25">
      <c r="A16" s="122"/>
      <c r="B16" s="24" t="s">
        <v>11</v>
      </c>
      <c r="C16" s="361" t="str">
        <f>+C12</f>
        <v>001048000728 - 001153001127</v>
      </c>
      <c r="D16" s="361"/>
      <c r="E16" s="361"/>
      <c r="F16" s="43"/>
      <c r="G16" s="43"/>
      <c r="H16" s="43"/>
      <c r="I16" s="43"/>
    </row>
    <row r="17" spans="1:19" s="42" customFormat="1" ht="19.899999999999999" customHeight="1" x14ac:dyDescent="0.25">
      <c r="A17" s="121" t="s">
        <v>12</v>
      </c>
      <c r="B17" s="362" t="s">
        <v>13</v>
      </c>
      <c r="C17" s="362"/>
      <c r="D17" s="362"/>
      <c r="E17" s="362"/>
      <c r="F17" s="362"/>
      <c r="G17" s="362"/>
      <c r="H17" s="362"/>
      <c r="I17" s="362"/>
    </row>
    <row r="18" spans="1:19" s="42" customFormat="1" ht="19.899999999999999" customHeight="1" x14ac:dyDescent="0.25">
      <c r="A18" s="121" t="s">
        <v>4</v>
      </c>
      <c r="B18" s="46" t="s">
        <v>14</v>
      </c>
      <c r="E18" s="43"/>
    </row>
    <row r="19" spans="1:19" s="51" customFormat="1" ht="19.899999999999999" customHeight="1" x14ac:dyDescent="0.25">
      <c r="A19" s="123"/>
      <c r="B19" s="47" t="s">
        <v>15</v>
      </c>
      <c r="C19" s="48">
        <v>55</v>
      </c>
      <c r="D19" s="363" t="s">
        <v>16</v>
      </c>
      <c r="E19" s="363"/>
      <c r="F19" s="49" t="s">
        <v>113</v>
      </c>
      <c r="G19" s="50"/>
      <c r="I19" s="50"/>
    </row>
    <row r="20" spans="1:19" s="51" customFormat="1" ht="19.899999999999999" customHeight="1" x14ac:dyDescent="0.25">
      <c r="A20" s="123"/>
      <c r="B20" s="47" t="s">
        <v>17</v>
      </c>
      <c r="C20" s="52">
        <v>336.2</v>
      </c>
      <c r="D20" s="50" t="s">
        <v>105</v>
      </c>
      <c r="E20" s="53"/>
      <c r="F20" s="54"/>
      <c r="H20" s="55"/>
      <c r="I20" s="50"/>
    </row>
    <row r="21" spans="1:19" s="51" customFormat="1" ht="19.899999999999999" customHeight="1" x14ac:dyDescent="0.25">
      <c r="A21" s="123"/>
      <c r="B21" s="56" t="s">
        <v>18</v>
      </c>
      <c r="C21" s="57"/>
      <c r="D21" s="50"/>
      <c r="E21" s="53"/>
      <c r="F21" s="50"/>
      <c r="H21" s="55"/>
      <c r="I21" s="50"/>
    </row>
    <row r="22" spans="1:19" s="51" customFormat="1" ht="19.899999999999999" customHeight="1" x14ac:dyDescent="0.25">
      <c r="A22" s="123"/>
      <c r="B22" s="47" t="s">
        <v>19</v>
      </c>
      <c r="C22" s="52">
        <v>68.3</v>
      </c>
      <c r="D22" s="50" t="s">
        <v>105</v>
      </c>
      <c r="E22" s="53"/>
      <c r="F22" s="50"/>
      <c r="H22" s="55"/>
      <c r="I22" s="50"/>
    </row>
    <row r="23" spans="1:19" s="51" customFormat="1" ht="19.899999999999999" customHeight="1" x14ac:dyDescent="0.25">
      <c r="A23" s="123"/>
      <c r="B23" s="47" t="s">
        <v>20</v>
      </c>
      <c r="C23" s="57">
        <f>C20-C22</f>
        <v>267.89999999999998</v>
      </c>
      <c r="D23" s="50" t="s">
        <v>105</v>
      </c>
      <c r="E23" s="53"/>
      <c r="F23" s="50"/>
      <c r="H23" s="55"/>
      <c r="I23" s="50"/>
    </row>
    <row r="24" spans="1:19" s="42" customFormat="1" ht="19.899999999999999" customHeight="1" x14ac:dyDescent="0.25">
      <c r="A24" s="122"/>
      <c r="B24" s="24" t="s">
        <v>21</v>
      </c>
      <c r="C24" s="362" t="s">
        <v>146</v>
      </c>
      <c r="D24" s="362"/>
      <c r="E24" s="362"/>
      <c r="F24" s="362"/>
      <c r="G24" s="362"/>
      <c r="H24" s="362"/>
      <c r="I24" s="362"/>
      <c r="K24" s="133"/>
    </row>
    <row r="25" spans="1:19" s="36" customFormat="1" ht="208.9" customHeight="1" x14ac:dyDescent="0.25">
      <c r="A25" s="39" t="s">
        <v>9</v>
      </c>
      <c r="B25" s="58" t="s">
        <v>73</v>
      </c>
      <c r="C25" s="366" t="s">
        <v>580</v>
      </c>
      <c r="D25" s="367"/>
      <c r="E25" s="367"/>
      <c r="F25" s="367"/>
      <c r="G25" s="367"/>
      <c r="H25" s="367"/>
      <c r="I25" s="367"/>
      <c r="J25" s="59"/>
      <c r="K25" s="133"/>
      <c r="L25" s="59"/>
      <c r="M25" s="59"/>
      <c r="N25" s="59"/>
      <c r="O25" s="59"/>
      <c r="P25" s="59"/>
      <c r="Q25" s="59"/>
      <c r="R25" s="59"/>
      <c r="S25" s="59"/>
    </row>
    <row r="26" spans="1:19" s="36" customFormat="1" ht="21" customHeight="1" x14ac:dyDescent="0.25">
      <c r="A26" s="39" t="s">
        <v>22</v>
      </c>
      <c r="B26" s="364" t="s">
        <v>82</v>
      </c>
      <c r="C26" s="364"/>
      <c r="D26" s="364"/>
      <c r="E26" s="364"/>
      <c r="F26" s="364"/>
      <c r="G26" s="60"/>
      <c r="H26" s="149" t="s">
        <v>112</v>
      </c>
      <c r="I26" s="60" t="s">
        <v>55</v>
      </c>
      <c r="J26" s="59"/>
      <c r="K26" s="142"/>
      <c r="L26" s="59"/>
      <c r="M26" s="59"/>
      <c r="N26" s="59"/>
      <c r="O26" s="59"/>
      <c r="P26" s="59"/>
      <c r="Q26" s="59"/>
      <c r="R26" s="59"/>
      <c r="S26" s="59"/>
    </row>
    <row r="27" spans="1:19" s="36" customFormat="1" ht="23.25" customHeight="1" x14ac:dyDescent="0.25">
      <c r="A27" s="39" t="s">
        <v>23</v>
      </c>
      <c r="B27" s="364" t="s">
        <v>65</v>
      </c>
      <c r="C27" s="364"/>
      <c r="D27" s="364"/>
      <c r="E27" s="364"/>
      <c r="F27" s="364"/>
      <c r="G27" s="364"/>
      <c r="H27" s="148">
        <v>10</v>
      </c>
      <c r="I27" s="60" t="s">
        <v>84</v>
      </c>
      <c r="J27" s="59"/>
      <c r="K27" s="59"/>
      <c r="L27" s="59"/>
      <c r="M27" s="59"/>
      <c r="N27" s="59"/>
      <c r="O27" s="59"/>
      <c r="P27" s="59"/>
      <c r="Q27" s="59"/>
      <c r="R27" s="59"/>
      <c r="S27" s="59"/>
    </row>
    <row r="28" spans="1:19" s="41" customFormat="1" x14ac:dyDescent="0.25">
      <c r="A28" s="39" t="s">
        <v>88</v>
      </c>
      <c r="B28" s="364" t="s">
        <v>87</v>
      </c>
      <c r="C28" s="364"/>
      <c r="D28" s="364"/>
      <c r="E28" s="364"/>
      <c r="F28" s="364"/>
      <c r="G28" s="364"/>
      <c r="H28" s="364"/>
      <c r="I28" s="364"/>
    </row>
    <row r="29" spans="1:19" s="40" customFormat="1" x14ac:dyDescent="0.25">
      <c r="A29" s="39" t="s">
        <v>4</v>
      </c>
      <c r="B29" s="360" t="s">
        <v>24</v>
      </c>
      <c r="C29" s="360"/>
      <c r="D29" s="360"/>
      <c r="E29" s="360"/>
      <c r="F29" s="360"/>
      <c r="G29" s="360"/>
      <c r="H29" s="360"/>
      <c r="I29" s="360"/>
      <c r="J29" s="41"/>
      <c r="K29" s="41"/>
      <c r="L29" s="41"/>
      <c r="M29" s="41"/>
      <c r="N29" s="41"/>
      <c r="O29" s="41"/>
      <c r="P29" s="41"/>
      <c r="Q29" s="41"/>
      <c r="R29" s="41"/>
      <c r="S29" s="41"/>
    </row>
    <row r="30" spans="1:19" s="24" customFormat="1" ht="32.25" customHeight="1" x14ac:dyDescent="0.25">
      <c r="A30" s="351" t="s">
        <v>25</v>
      </c>
      <c r="B30" s="353" t="s">
        <v>26</v>
      </c>
      <c r="C30" s="354"/>
      <c r="D30" s="354"/>
      <c r="E30" s="354"/>
      <c r="F30" s="354"/>
      <c r="G30" s="354"/>
      <c r="H30" s="354"/>
      <c r="I30" s="355"/>
    </row>
    <row r="31" spans="1:19" s="25" customFormat="1" ht="49.5" x14ac:dyDescent="0.25">
      <c r="A31" s="352"/>
      <c r="B31" s="353" t="s">
        <v>27</v>
      </c>
      <c r="C31" s="355"/>
      <c r="D31" s="21" t="s">
        <v>28</v>
      </c>
      <c r="E31" s="22" t="s">
        <v>29</v>
      </c>
      <c r="F31" s="22" t="s">
        <v>30</v>
      </c>
      <c r="G31" s="21" t="s">
        <v>31</v>
      </c>
      <c r="H31" s="22" t="s">
        <v>104</v>
      </c>
      <c r="I31" s="22" t="s">
        <v>33</v>
      </c>
    </row>
    <row r="32" spans="1:19" s="62" customFormat="1" ht="18.75" customHeight="1" x14ac:dyDescent="0.25">
      <c r="A32" s="61">
        <v>1</v>
      </c>
      <c r="B32" s="356">
        <v>2</v>
      </c>
      <c r="C32" s="357"/>
      <c r="D32" s="61">
        <v>3</v>
      </c>
      <c r="E32" s="61">
        <v>4</v>
      </c>
      <c r="F32" s="61">
        <v>5</v>
      </c>
      <c r="G32" s="61">
        <v>6</v>
      </c>
      <c r="H32" s="61">
        <v>7</v>
      </c>
      <c r="I32" s="61">
        <v>8</v>
      </c>
    </row>
    <row r="33" spans="1:9" s="68" customFormat="1" ht="39.6" customHeight="1" x14ac:dyDescent="0.25">
      <c r="A33" s="63">
        <v>1</v>
      </c>
      <c r="B33" s="358" t="s">
        <v>563</v>
      </c>
      <c r="C33" s="359"/>
      <c r="D33" s="64" t="s">
        <v>106</v>
      </c>
      <c r="E33" s="65">
        <f>C22</f>
        <v>68.3</v>
      </c>
      <c r="F33" s="63"/>
      <c r="G33" s="66"/>
      <c r="H33" s="166">
        <f>E33*F33*G33</f>
        <v>0</v>
      </c>
      <c r="I33" s="67"/>
    </row>
    <row r="34" spans="1:9" s="71" customFormat="1" ht="30.75" customHeight="1" x14ac:dyDescent="0.25">
      <c r="A34" s="69"/>
      <c r="B34" s="349" t="s">
        <v>34</v>
      </c>
      <c r="C34" s="350"/>
      <c r="D34" s="69"/>
      <c r="E34" s="69"/>
      <c r="F34" s="69"/>
      <c r="G34" s="69"/>
      <c r="H34" s="169">
        <f>SUM(H33:H33)</f>
        <v>0</v>
      </c>
      <c r="I34" s="69"/>
    </row>
    <row r="35" spans="1:9" ht="12.75" customHeight="1" x14ac:dyDescent="0.25">
      <c r="A35" s="77"/>
      <c r="B35" s="72"/>
      <c r="C35" s="72"/>
      <c r="D35" s="73"/>
      <c r="E35" s="73"/>
      <c r="F35" s="73"/>
      <c r="G35" s="73"/>
      <c r="H35" s="73"/>
      <c r="I35" s="73"/>
    </row>
    <row r="36" spans="1:9" x14ac:dyDescent="0.25">
      <c r="A36" s="75" t="s">
        <v>9</v>
      </c>
      <c r="B36" s="360" t="s">
        <v>35</v>
      </c>
      <c r="C36" s="360"/>
      <c r="D36" s="360"/>
      <c r="E36" s="360"/>
      <c r="F36" s="360"/>
      <c r="G36" s="360"/>
      <c r="H36" s="360"/>
      <c r="I36" s="360"/>
    </row>
    <row r="37" spans="1:9" s="23" customFormat="1" ht="49.5" x14ac:dyDescent="0.25">
      <c r="A37" s="29" t="s">
        <v>25</v>
      </c>
      <c r="B37" s="353" t="s">
        <v>27</v>
      </c>
      <c r="C37" s="355"/>
      <c r="D37" s="21" t="s">
        <v>28</v>
      </c>
      <c r="E37" s="22" t="s">
        <v>29</v>
      </c>
      <c r="F37" s="22" t="s">
        <v>30</v>
      </c>
      <c r="G37" s="21" t="s">
        <v>31</v>
      </c>
      <c r="H37" s="22" t="s">
        <v>32</v>
      </c>
      <c r="I37" s="22" t="s">
        <v>33</v>
      </c>
    </row>
    <row r="38" spans="1:9" s="62" customFormat="1" ht="18" customHeight="1" x14ac:dyDescent="0.25">
      <c r="A38" s="61">
        <v>1</v>
      </c>
      <c r="B38" s="356">
        <v>2</v>
      </c>
      <c r="C38" s="357"/>
      <c r="D38" s="61">
        <v>3</v>
      </c>
      <c r="E38" s="61">
        <v>4</v>
      </c>
      <c r="F38" s="61">
        <v>5</v>
      </c>
      <c r="G38" s="61">
        <v>6</v>
      </c>
      <c r="H38" s="61">
        <v>7</v>
      </c>
      <c r="I38" s="61">
        <v>8</v>
      </c>
    </row>
    <row r="39" spans="1:9" ht="35.25" customHeight="1" x14ac:dyDescent="0.25">
      <c r="A39" s="26">
        <v>1</v>
      </c>
      <c r="B39" s="353"/>
      <c r="C39" s="355"/>
      <c r="D39" s="27"/>
      <c r="E39" s="22"/>
      <c r="F39" s="27"/>
      <c r="G39" s="27"/>
      <c r="H39" s="27"/>
      <c r="I39" s="26" t="s">
        <v>36</v>
      </c>
    </row>
    <row r="40" spans="1:9" s="71" customFormat="1" ht="25.5" customHeight="1" x14ac:dyDescent="0.25">
      <c r="A40" s="69"/>
      <c r="B40" s="349" t="s">
        <v>34</v>
      </c>
      <c r="C40" s="350"/>
      <c r="D40" s="74"/>
      <c r="E40" s="69"/>
      <c r="F40" s="74"/>
      <c r="G40" s="74"/>
      <c r="H40" s="74"/>
      <c r="I40" s="69"/>
    </row>
    <row r="41" spans="1:9" x14ac:dyDescent="0.25">
      <c r="A41" s="124"/>
      <c r="B41" s="75"/>
      <c r="C41" s="75"/>
      <c r="D41" s="76"/>
      <c r="E41" s="75"/>
      <c r="F41" s="76"/>
      <c r="G41" s="76"/>
      <c r="H41" s="76"/>
      <c r="I41" s="75"/>
    </row>
    <row r="42" spans="1:9" x14ac:dyDescent="0.25">
      <c r="A42" s="324"/>
      <c r="B42" s="327" t="s">
        <v>37</v>
      </c>
      <c r="C42" s="328"/>
      <c r="D42" s="328"/>
      <c r="E42" s="328"/>
      <c r="F42" s="328"/>
      <c r="G42" s="329"/>
      <c r="H42" s="27"/>
      <c r="I42" s="26" t="s">
        <v>74</v>
      </c>
    </row>
    <row r="43" spans="1:9" x14ac:dyDescent="0.25">
      <c r="A43" s="325"/>
      <c r="B43" s="330" t="s">
        <v>38</v>
      </c>
      <c r="C43" s="331"/>
      <c r="D43" s="331"/>
      <c r="E43" s="331"/>
      <c r="F43" s="331"/>
      <c r="G43" s="332"/>
      <c r="H43" s="27"/>
      <c r="I43" s="26" t="s">
        <v>74</v>
      </c>
    </row>
    <row r="44" spans="1:9" x14ac:dyDescent="0.25">
      <c r="A44" s="326"/>
      <c r="B44" s="333" t="s">
        <v>39</v>
      </c>
      <c r="C44" s="334"/>
      <c r="D44" s="334"/>
      <c r="E44" s="334"/>
      <c r="F44" s="334"/>
      <c r="G44" s="335"/>
      <c r="H44" s="27"/>
      <c r="I44" s="26" t="s">
        <v>74</v>
      </c>
    </row>
    <row r="45" spans="1:9" ht="6.75" customHeight="1" x14ac:dyDescent="0.25">
      <c r="A45" s="77"/>
      <c r="B45" s="72"/>
      <c r="C45" s="72"/>
      <c r="D45" s="72"/>
      <c r="E45" s="78"/>
      <c r="F45" s="72"/>
      <c r="G45" s="72"/>
      <c r="H45" s="79"/>
      <c r="I45" s="79"/>
    </row>
    <row r="46" spans="1:9" ht="19.5" customHeight="1" x14ac:dyDescent="0.25">
      <c r="A46" s="125" t="s">
        <v>22</v>
      </c>
      <c r="B46" s="336" t="s">
        <v>40</v>
      </c>
      <c r="C46" s="336"/>
      <c r="D46" s="336"/>
      <c r="E46" s="336"/>
      <c r="F46" s="336"/>
      <c r="G46" s="336"/>
      <c r="H46" s="80"/>
      <c r="I46" s="81"/>
    </row>
    <row r="47" spans="1:9" s="30" customFormat="1" ht="49.5" x14ac:dyDescent="0.25">
      <c r="A47" s="21" t="s">
        <v>25</v>
      </c>
      <c r="B47" s="21" t="s">
        <v>41</v>
      </c>
      <c r="C47" s="21" t="s">
        <v>28</v>
      </c>
      <c r="D47" s="21" t="s">
        <v>42</v>
      </c>
      <c r="E47" s="21" t="s">
        <v>43</v>
      </c>
      <c r="F47" s="21" t="s">
        <v>44</v>
      </c>
      <c r="G47" s="21" t="s">
        <v>31</v>
      </c>
      <c r="H47" s="21" t="s">
        <v>45</v>
      </c>
      <c r="I47" s="21" t="s">
        <v>33</v>
      </c>
    </row>
    <row r="48" spans="1:9" s="83" customFormat="1" ht="18" customHeight="1" x14ac:dyDescent="0.25">
      <c r="A48" s="82">
        <v>1</v>
      </c>
      <c r="B48" s="82">
        <v>2</v>
      </c>
      <c r="C48" s="82">
        <v>3</v>
      </c>
      <c r="D48" s="82">
        <v>4</v>
      </c>
      <c r="E48" s="82">
        <v>5</v>
      </c>
      <c r="F48" s="82">
        <v>6</v>
      </c>
      <c r="G48" s="82">
        <v>7</v>
      </c>
      <c r="H48" s="82">
        <v>8</v>
      </c>
      <c r="I48" s="82">
        <v>9</v>
      </c>
    </row>
    <row r="49" spans="1:12" s="89" customFormat="1" ht="30" customHeight="1" x14ac:dyDescent="0.25">
      <c r="A49" s="21" t="s">
        <v>46</v>
      </c>
      <c r="B49" s="84" t="s">
        <v>47</v>
      </c>
      <c r="C49" s="85"/>
      <c r="D49" s="85"/>
      <c r="E49" s="86"/>
      <c r="F49" s="85"/>
      <c r="G49" s="85"/>
      <c r="H49" s="157">
        <f>SUM(H50:H50)</f>
        <v>0</v>
      </c>
      <c r="I49" s="28"/>
    </row>
    <row r="50" spans="1:12" s="227" customFormat="1" ht="24.95" customHeight="1" x14ac:dyDescent="0.25">
      <c r="A50" s="90">
        <v>1</v>
      </c>
      <c r="B50" s="88" t="s">
        <v>90</v>
      </c>
      <c r="C50" s="64" t="s">
        <v>106</v>
      </c>
      <c r="D50" s="90" t="s">
        <v>327</v>
      </c>
      <c r="E50" s="231">
        <f>7.71*10</f>
        <v>77.099999999999994</v>
      </c>
      <c r="F50" s="90"/>
      <c r="G50" s="90"/>
      <c r="H50" s="224"/>
      <c r="I50" s="324" t="s">
        <v>110</v>
      </c>
    </row>
    <row r="51" spans="1:12" s="227" customFormat="1" ht="24.95" customHeight="1" x14ac:dyDescent="0.25">
      <c r="A51" s="90">
        <v>2</v>
      </c>
      <c r="B51" s="88" t="s">
        <v>96</v>
      </c>
      <c r="C51" s="64" t="s">
        <v>106</v>
      </c>
      <c r="D51" s="90" t="s">
        <v>328</v>
      </c>
      <c r="E51" s="231">
        <f>2.5*7.71</f>
        <v>19.274999999999999</v>
      </c>
      <c r="F51" s="90"/>
      <c r="G51" s="90"/>
      <c r="H51" s="224"/>
      <c r="I51" s="325"/>
    </row>
    <row r="52" spans="1:12" s="227" customFormat="1" ht="88.9" customHeight="1" x14ac:dyDescent="0.25">
      <c r="A52" s="90">
        <v>3</v>
      </c>
      <c r="B52" s="88" t="s">
        <v>421</v>
      </c>
      <c r="C52" s="64" t="s">
        <v>106</v>
      </c>
      <c r="D52" s="96" t="s">
        <v>329</v>
      </c>
      <c r="E52" s="231">
        <f>7.71*9.05</f>
        <v>69.775500000000008</v>
      </c>
      <c r="F52" s="90"/>
      <c r="G52" s="90"/>
      <c r="H52" s="224"/>
      <c r="I52" s="325"/>
    </row>
    <row r="53" spans="1:12" s="89" customFormat="1" ht="37.5" customHeight="1" x14ac:dyDescent="0.25">
      <c r="A53" s="90"/>
      <c r="B53" s="132" t="s">
        <v>120</v>
      </c>
      <c r="C53" s="64" t="s">
        <v>106</v>
      </c>
      <c r="D53" s="96" t="s">
        <v>330</v>
      </c>
      <c r="E53" s="92">
        <f>(3.9*0.47)/2</f>
        <v>0.91649999999999998</v>
      </c>
      <c r="F53" s="93"/>
      <c r="G53" s="93"/>
      <c r="H53" s="94"/>
      <c r="I53" s="325"/>
      <c r="K53" s="151"/>
    </row>
    <row r="54" spans="1:12" s="89" customFormat="1" ht="37.5" customHeight="1" x14ac:dyDescent="0.25">
      <c r="A54" s="90"/>
      <c r="B54" s="132" t="s">
        <v>109</v>
      </c>
      <c r="C54" s="64" t="s">
        <v>106</v>
      </c>
      <c r="D54" s="96" t="s">
        <v>331</v>
      </c>
      <c r="E54" s="92">
        <f>69.78 - 0.92</f>
        <v>68.86</v>
      </c>
      <c r="F54" s="93"/>
      <c r="G54" s="93"/>
      <c r="H54" s="94"/>
      <c r="I54" s="325"/>
      <c r="K54" s="151"/>
    </row>
    <row r="55" spans="1:12" s="89" customFormat="1" ht="24.95" customHeight="1" x14ac:dyDescent="0.25">
      <c r="A55" s="90" t="s">
        <v>131</v>
      </c>
      <c r="B55" s="132" t="s">
        <v>134</v>
      </c>
      <c r="C55" s="64" t="s">
        <v>106</v>
      </c>
      <c r="D55" s="96" t="s">
        <v>145</v>
      </c>
      <c r="E55" s="92">
        <f>E52</f>
        <v>69.775500000000008</v>
      </c>
      <c r="F55" s="93"/>
      <c r="G55" s="93"/>
      <c r="H55" s="94"/>
      <c r="I55" s="325"/>
      <c r="K55" s="151"/>
    </row>
    <row r="56" spans="1:12" s="89" customFormat="1" ht="24.95" customHeight="1" x14ac:dyDescent="0.25">
      <c r="A56" s="90">
        <v>4</v>
      </c>
      <c r="B56" s="132" t="s">
        <v>159</v>
      </c>
      <c r="C56" s="187" t="s">
        <v>92</v>
      </c>
      <c r="D56" s="96" t="s">
        <v>261</v>
      </c>
      <c r="E56" s="92">
        <v>30</v>
      </c>
      <c r="F56" s="93"/>
      <c r="G56" s="93"/>
      <c r="H56" s="94"/>
      <c r="I56" s="326"/>
      <c r="K56" s="151"/>
    </row>
    <row r="57" spans="1:12" s="89" customFormat="1" ht="25.5" customHeight="1" x14ac:dyDescent="0.25">
      <c r="A57" s="21" t="s">
        <v>48</v>
      </c>
      <c r="B57" s="84" t="s">
        <v>49</v>
      </c>
      <c r="C57" s="85"/>
      <c r="D57" s="85"/>
      <c r="E57" s="92"/>
      <c r="F57" s="85"/>
      <c r="G57" s="85"/>
      <c r="H57" s="157">
        <f>SUM(H58:H58)</f>
        <v>0</v>
      </c>
      <c r="I57" s="150"/>
    </row>
    <row r="58" spans="1:12" s="89" customFormat="1" ht="26.25" customHeight="1" x14ac:dyDescent="0.25">
      <c r="A58" s="152"/>
      <c r="B58" s="153"/>
      <c r="C58" s="154"/>
      <c r="D58" s="152"/>
      <c r="E58" s="155"/>
      <c r="F58" s="97"/>
      <c r="G58" s="98"/>
      <c r="H58" s="184"/>
      <c r="I58" s="99"/>
    </row>
    <row r="59" spans="1:12" s="102" customFormat="1" ht="31.5" customHeight="1" x14ac:dyDescent="0.25">
      <c r="A59" s="126"/>
      <c r="B59" s="100" t="s">
        <v>50</v>
      </c>
      <c r="C59" s="100"/>
      <c r="D59" s="100"/>
      <c r="E59" s="100"/>
      <c r="F59" s="100"/>
      <c r="G59" s="100"/>
      <c r="H59" s="158">
        <f>H49+H57</f>
        <v>0</v>
      </c>
      <c r="I59" s="101"/>
    </row>
    <row r="60" spans="1:12" ht="22.5" customHeight="1" x14ac:dyDescent="0.25">
      <c r="A60" s="127">
        <v>4</v>
      </c>
      <c r="B60" s="84" t="s">
        <v>51</v>
      </c>
      <c r="C60" s="84"/>
      <c r="D60" s="84"/>
      <c r="E60" s="84"/>
      <c r="F60" s="84"/>
      <c r="G60" s="84"/>
      <c r="H60" s="51"/>
      <c r="I60" s="51"/>
    </row>
    <row r="61" spans="1:12" s="104" customFormat="1" ht="49.5" x14ac:dyDescent="0.25">
      <c r="A61" s="103" t="s">
        <v>25</v>
      </c>
      <c r="B61" s="338" t="s">
        <v>52</v>
      </c>
      <c r="C61" s="339"/>
      <c r="D61" s="21" t="s">
        <v>29</v>
      </c>
      <c r="E61" s="21" t="s">
        <v>53</v>
      </c>
      <c r="F61" s="21" t="s">
        <v>44</v>
      </c>
      <c r="G61" s="21" t="s">
        <v>54</v>
      </c>
      <c r="H61" s="21" t="s">
        <v>45</v>
      </c>
      <c r="I61" s="21" t="s">
        <v>33</v>
      </c>
    </row>
    <row r="62" spans="1:12" ht="29.25" customHeight="1" x14ac:dyDescent="0.25">
      <c r="A62" s="105"/>
      <c r="B62" s="340"/>
      <c r="C62" s="341"/>
      <c r="D62" s="106"/>
      <c r="E62" s="105"/>
      <c r="F62" s="107"/>
      <c r="G62" s="108"/>
      <c r="H62" s="108"/>
      <c r="I62" s="109"/>
      <c r="L62" s="110"/>
    </row>
    <row r="63" spans="1:12" s="112" customFormat="1" ht="27.75" customHeight="1" x14ac:dyDescent="0.25">
      <c r="A63" s="126"/>
      <c r="B63" s="342" t="s">
        <v>34</v>
      </c>
      <c r="C63" s="343"/>
      <c r="D63" s="100"/>
      <c r="E63" s="100"/>
      <c r="F63" s="100"/>
      <c r="G63" s="100"/>
      <c r="H63" s="163">
        <f>SUM(H62)</f>
        <v>0</v>
      </c>
      <c r="I63" s="111"/>
      <c r="L63" s="113"/>
    </row>
    <row r="64" spans="1:12" s="115" customFormat="1" ht="27.75" customHeight="1" x14ac:dyDescent="0.25">
      <c r="A64" s="128">
        <v>5</v>
      </c>
      <c r="B64" s="344" t="s">
        <v>56</v>
      </c>
      <c r="C64" s="344"/>
      <c r="D64" s="344"/>
      <c r="E64" s="344"/>
      <c r="F64" s="344"/>
      <c r="G64" s="345"/>
      <c r="H64" s="164">
        <f>H63+H59+H40+H34</f>
        <v>0</v>
      </c>
      <c r="I64" s="114" t="s">
        <v>57</v>
      </c>
    </row>
    <row r="65" spans="1:9" s="117" customFormat="1" ht="17.25" x14ac:dyDescent="0.25">
      <c r="A65" s="129"/>
      <c r="B65" s="116" t="s">
        <v>78</v>
      </c>
      <c r="C65" s="346" t="s">
        <v>91</v>
      </c>
      <c r="D65" s="346"/>
      <c r="E65" s="346"/>
      <c r="F65" s="346"/>
      <c r="G65" s="346"/>
      <c r="H65" s="346"/>
      <c r="I65" s="346"/>
    </row>
    <row r="66" spans="1:9" s="41" customFormat="1" ht="17.25" hidden="1" x14ac:dyDescent="0.3">
      <c r="A66" s="39"/>
      <c r="B66" s="118"/>
      <c r="E66" s="119"/>
      <c r="F66" s="316" t="s">
        <v>75</v>
      </c>
      <c r="G66" s="316"/>
      <c r="H66" s="316"/>
      <c r="I66" s="316"/>
    </row>
    <row r="67" spans="1:9" hidden="1" x14ac:dyDescent="0.25">
      <c r="F67" s="316" t="s">
        <v>76</v>
      </c>
      <c r="G67" s="316"/>
      <c r="H67" s="316"/>
      <c r="I67" s="316"/>
    </row>
    <row r="68" spans="1:9" hidden="1" x14ac:dyDescent="0.25">
      <c r="F68" s="317"/>
      <c r="G68" s="317"/>
      <c r="H68" s="317"/>
      <c r="I68" s="317"/>
    </row>
    <row r="69" spans="1:9" hidden="1" x14ac:dyDescent="0.25"/>
    <row r="70" spans="1:9" hidden="1" x14ac:dyDescent="0.25"/>
    <row r="71" spans="1:9" hidden="1" x14ac:dyDescent="0.25"/>
    <row r="72" spans="1:9" hidden="1" x14ac:dyDescent="0.25"/>
    <row r="73" spans="1:9" hidden="1" x14ac:dyDescent="0.25"/>
    <row r="74" spans="1:9" hidden="1" x14ac:dyDescent="0.25">
      <c r="F74" s="318" t="s">
        <v>77</v>
      </c>
      <c r="G74" s="318"/>
      <c r="H74" s="318"/>
      <c r="I74" s="318"/>
    </row>
    <row r="75" spans="1:9" ht="65.25" customHeight="1" x14ac:dyDescent="0.25">
      <c r="A75" s="319" t="s">
        <v>100</v>
      </c>
      <c r="B75" s="319"/>
      <c r="C75" s="319"/>
      <c r="D75" s="319"/>
      <c r="E75" s="319"/>
      <c r="F75" s="319"/>
      <c r="G75" s="319"/>
      <c r="H75" s="319"/>
      <c r="I75" s="319"/>
    </row>
    <row r="76" spans="1:9" x14ac:dyDescent="0.25">
      <c r="A76" s="315" t="s">
        <v>102</v>
      </c>
      <c r="B76" s="315"/>
      <c r="C76" s="315"/>
      <c r="D76" s="315"/>
      <c r="E76" s="315"/>
      <c r="F76" s="315"/>
      <c r="G76" s="315"/>
      <c r="H76" s="315"/>
      <c r="I76" s="315"/>
    </row>
    <row r="77" spans="1:9" x14ac:dyDescent="0.25">
      <c r="A77" s="320" t="s">
        <v>107</v>
      </c>
      <c r="B77" s="320"/>
      <c r="C77" s="320"/>
      <c r="D77" s="321"/>
      <c r="E77" s="322" t="s">
        <v>108</v>
      </c>
      <c r="F77" s="323"/>
      <c r="G77" s="323"/>
      <c r="H77" s="323"/>
      <c r="I77" s="323"/>
    </row>
    <row r="78" spans="1:9" x14ac:dyDescent="0.25">
      <c r="A78" s="320"/>
      <c r="B78" s="320"/>
      <c r="C78" s="320"/>
      <c r="D78" s="321"/>
      <c r="E78" s="322"/>
      <c r="F78" s="323"/>
      <c r="G78" s="323"/>
      <c r="H78" s="323"/>
      <c r="I78" s="323"/>
    </row>
    <row r="79" spans="1:9" x14ac:dyDescent="0.25">
      <c r="A79" s="320"/>
      <c r="B79" s="320"/>
      <c r="C79" s="320"/>
      <c r="D79" s="321"/>
      <c r="E79" s="38"/>
      <c r="I79" s="20"/>
    </row>
    <row r="80" spans="1:9" x14ac:dyDescent="0.25">
      <c r="A80" s="315" t="s">
        <v>101</v>
      </c>
      <c r="B80" s="315"/>
      <c r="C80" s="315"/>
      <c r="D80" s="315"/>
      <c r="E80" s="315"/>
      <c r="F80" s="315"/>
      <c r="G80" s="315"/>
      <c r="H80" s="315"/>
      <c r="I80" s="315"/>
    </row>
  </sheetData>
  <mergeCells count="58">
    <mergeCell ref="A1:D1"/>
    <mergeCell ref="E1:I1"/>
    <mergeCell ref="A2:D2"/>
    <mergeCell ref="E2:I2"/>
    <mergeCell ref="E4:I4"/>
    <mergeCell ref="A4:D4"/>
    <mergeCell ref="C10:I10"/>
    <mergeCell ref="C11:I11"/>
    <mergeCell ref="C12:E12"/>
    <mergeCell ref="C14:I14"/>
    <mergeCell ref="F13:I13"/>
    <mergeCell ref="A5:I5"/>
    <mergeCell ref="A6:I6"/>
    <mergeCell ref="A7:I7"/>
    <mergeCell ref="B8:I8"/>
    <mergeCell ref="B9:E9"/>
    <mergeCell ref="F9:I9"/>
    <mergeCell ref="B29:I29"/>
    <mergeCell ref="C25:I25"/>
    <mergeCell ref="B26:F26"/>
    <mergeCell ref="B27:G27"/>
    <mergeCell ref="C15:I15"/>
    <mergeCell ref="C16:E16"/>
    <mergeCell ref="B17:I17"/>
    <mergeCell ref="D19:E19"/>
    <mergeCell ref="C24:I24"/>
    <mergeCell ref="B28:I28"/>
    <mergeCell ref="B40:C40"/>
    <mergeCell ref="A30:A31"/>
    <mergeCell ref="B30:I30"/>
    <mergeCell ref="B31:C31"/>
    <mergeCell ref="B32:C32"/>
    <mergeCell ref="B33:C33"/>
    <mergeCell ref="B34:C34"/>
    <mergeCell ref="B36:I36"/>
    <mergeCell ref="B37:C37"/>
    <mergeCell ref="B38:C38"/>
    <mergeCell ref="B39:C39"/>
    <mergeCell ref="F66:I66"/>
    <mergeCell ref="A42:A44"/>
    <mergeCell ref="B42:G42"/>
    <mergeCell ref="B43:G43"/>
    <mergeCell ref="B44:G44"/>
    <mergeCell ref="B46:G46"/>
    <mergeCell ref="B61:C61"/>
    <mergeCell ref="B62:C62"/>
    <mergeCell ref="B63:C63"/>
    <mergeCell ref="B64:G64"/>
    <mergeCell ref="C65:I65"/>
    <mergeCell ref="I50:I56"/>
    <mergeCell ref="A80:I80"/>
    <mergeCell ref="F67:I67"/>
    <mergeCell ref="F68:I68"/>
    <mergeCell ref="F74:I74"/>
    <mergeCell ref="A75:I75"/>
    <mergeCell ref="A76:I76"/>
    <mergeCell ref="A77:D79"/>
    <mergeCell ref="E77:I78"/>
  </mergeCells>
  <printOptions horizontalCentered="1"/>
  <pageMargins left="0.11811023622047245" right="0.11811023622047245" top="0.11811023622047245" bottom="0.15748031496062992" header="0.11811023622047245" footer="0.15748031496062992"/>
  <pageSetup paperSize="9" scale="80" orientation="portrait" r:id="rId1"/>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78"/>
  <sheetViews>
    <sheetView topLeftCell="A28" workbookViewId="0">
      <selection activeCell="B33" sqref="B33:C33"/>
    </sheetView>
  </sheetViews>
  <sheetFormatPr defaultColWidth="9.140625" defaultRowHeight="16.5" x14ac:dyDescent="0.25"/>
  <cols>
    <col min="1" max="1" width="4.42578125" style="68" customWidth="1"/>
    <col min="2" max="2" width="28.140625" style="20" customWidth="1"/>
    <col min="3" max="3" width="9.140625" style="20" customWidth="1"/>
    <col min="4" max="4" width="23.28515625" style="20" customWidth="1"/>
    <col min="5" max="5" width="9.28515625" style="23" customWidth="1"/>
    <col min="6" max="6" width="12" style="20" customWidth="1"/>
    <col min="7" max="7" width="9.42578125" style="20" customWidth="1"/>
    <col min="8" max="8" width="13.140625" style="20" customWidth="1"/>
    <col min="9" max="9" width="16.140625" style="120" customWidth="1"/>
    <col min="10" max="10" width="12.28515625" style="20" customWidth="1"/>
    <col min="11" max="11" width="9.140625" style="20" customWidth="1"/>
    <col min="12" max="12" width="11.42578125" style="20" customWidth="1"/>
    <col min="13" max="19" width="9.140625" style="20" customWidth="1"/>
    <col min="20" max="16384" width="9.140625" style="20"/>
  </cols>
  <sheetData>
    <row r="1" spans="1:17" s="36" customFormat="1" x14ac:dyDescent="0.25">
      <c r="A1" s="368" t="s">
        <v>98</v>
      </c>
      <c r="B1" s="368"/>
      <c r="C1" s="368"/>
      <c r="D1" s="368"/>
      <c r="E1" s="368" t="s">
        <v>0</v>
      </c>
      <c r="F1" s="368"/>
      <c r="G1" s="368"/>
      <c r="H1" s="368"/>
      <c r="I1" s="368"/>
    </row>
    <row r="2" spans="1:17" s="36" customFormat="1" x14ac:dyDescent="0.25">
      <c r="A2" s="369" t="s">
        <v>99</v>
      </c>
      <c r="B2" s="369"/>
      <c r="C2" s="369"/>
      <c r="D2" s="369"/>
      <c r="E2" s="369" t="s">
        <v>1</v>
      </c>
      <c r="F2" s="368"/>
      <c r="G2" s="368"/>
      <c r="H2" s="368"/>
      <c r="I2" s="368"/>
    </row>
    <row r="3" spans="1:17" s="36" customFormat="1" ht="15.75" customHeight="1" x14ac:dyDescent="0.25">
      <c r="A3" s="39"/>
      <c r="C3" s="39"/>
      <c r="D3" s="39"/>
      <c r="E3" s="39"/>
      <c r="F3" s="39"/>
      <c r="G3" s="39"/>
      <c r="H3" s="39"/>
      <c r="I3" s="37"/>
    </row>
    <row r="4" spans="1:17" s="36" customFormat="1" x14ac:dyDescent="0.25">
      <c r="A4" s="369" t="s">
        <v>89</v>
      </c>
      <c r="B4" s="369"/>
      <c r="C4" s="369"/>
      <c r="D4" s="369"/>
      <c r="E4" s="370" t="s">
        <v>185</v>
      </c>
      <c r="F4" s="370"/>
      <c r="G4" s="370"/>
      <c r="H4" s="370"/>
      <c r="I4" s="370"/>
    </row>
    <row r="5" spans="1:17" s="40" customFormat="1" ht="18.75" customHeight="1" x14ac:dyDescent="0.25">
      <c r="A5" s="371" t="s">
        <v>85</v>
      </c>
      <c r="B5" s="371"/>
      <c r="C5" s="371"/>
      <c r="D5" s="371"/>
      <c r="E5" s="371"/>
      <c r="F5" s="371"/>
      <c r="G5" s="371"/>
      <c r="H5" s="371"/>
      <c r="I5" s="371"/>
    </row>
    <row r="6" spans="1:17" s="40" customFormat="1" ht="37.5" customHeight="1" x14ac:dyDescent="0.25">
      <c r="A6" s="372" t="s">
        <v>86</v>
      </c>
      <c r="B6" s="372"/>
      <c r="C6" s="372"/>
      <c r="D6" s="372"/>
      <c r="E6" s="372"/>
      <c r="F6" s="372"/>
      <c r="G6" s="372"/>
      <c r="H6" s="372"/>
      <c r="I6" s="372"/>
      <c r="Q6" s="41"/>
    </row>
    <row r="7" spans="1:17" s="40" customFormat="1" ht="39.75" customHeight="1" x14ac:dyDescent="0.25">
      <c r="A7" s="373" t="s">
        <v>166</v>
      </c>
      <c r="B7" s="373"/>
      <c r="C7" s="373"/>
      <c r="D7" s="373"/>
      <c r="E7" s="373"/>
      <c r="F7" s="373"/>
      <c r="G7" s="373"/>
      <c r="H7" s="373"/>
      <c r="I7" s="373"/>
    </row>
    <row r="8" spans="1:17" s="42" customFormat="1" ht="19.899999999999999" customHeight="1" x14ac:dyDescent="0.25">
      <c r="A8" s="121" t="s">
        <v>2</v>
      </c>
      <c r="B8" s="362" t="s">
        <v>3</v>
      </c>
      <c r="C8" s="362"/>
      <c r="D8" s="362"/>
      <c r="E8" s="362"/>
      <c r="F8" s="362"/>
      <c r="G8" s="362"/>
      <c r="H8" s="362"/>
      <c r="I8" s="362"/>
    </row>
    <row r="9" spans="1:17" s="42" customFormat="1" ht="19.899999999999999" customHeight="1" x14ac:dyDescent="0.25">
      <c r="A9" s="121" t="s">
        <v>4</v>
      </c>
      <c r="B9" s="374" t="s">
        <v>5</v>
      </c>
      <c r="C9" s="374"/>
      <c r="D9" s="374"/>
      <c r="E9" s="374"/>
      <c r="F9" s="375" t="s">
        <v>332</v>
      </c>
      <c r="G9" s="375"/>
      <c r="H9" s="375"/>
      <c r="I9" s="375"/>
    </row>
    <row r="10" spans="1:17" s="42" customFormat="1" ht="19.899999999999999" customHeight="1" x14ac:dyDescent="0.25">
      <c r="A10" s="122"/>
      <c r="B10" s="24" t="s">
        <v>6</v>
      </c>
      <c r="C10" s="365" t="s">
        <v>333</v>
      </c>
      <c r="D10" s="365"/>
      <c r="E10" s="365"/>
      <c r="F10" s="365"/>
      <c r="G10" s="365"/>
      <c r="H10" s="365"/>
      <c r="I10" s="365"/>
    </row>
    <row r="11" spans="1:17" s="42" customFormat="1" ht="19.899999999999999" customHeight="1" x14ac:dyDescent="0.25">
      <c r="A11" s="122"/>
      <c r="B11" s="24" t="s">
        <v>7</v>
      </c>
      <c r="C11" s="365" t="str">
        <f>+C10</f>
        <v>Thôn Quyết Thượng - xã Phú Nghĩa - TP Hà Nội</v>
      </c>
      <c r="D11" s="365"/>
      <c r="E11" s="365"/>
      <c r="F11" s="365"/>
      <c r="G11" s="365"/>
      <c r="H11" s="365"/>
      <c r="I11" s="365"/>
    </row>
    <row r="12" spans="1:17" s="42" customFormat="1" ht="19.899999999999999" customHeight="1" x14ac:dyDescent="0.25">
      <c r="A12" s="122"/>
      <c r="B12" s="24" t="s">
        <v>11</v>
      </c>
      <c r="C12" s="361" t="s">
        <v>334</v>
      </c>
      <c r="D12" s="361"/>
      <c r="E12" s="361"/>
      <c r="F12" s="43"/>
      <c r="G12" s="43"/>
      <c r="H12" s="43"/>
      <c r="I12" s="43"/>
    </row>
    <row r="13" spans="1:17" s="42" customFormat="1" ht="19.899999999999999" customHeight="1" x14ac:dyDescent="0.25">
      <c r="A13" s="121" t="s">
        <v>9</v>
      </c>
      <c r="B13" s="44" t="s">
        <v>10</v>
      </c>
      <c r="E13" s="43"/>
      <c r="F13" s="362" t="str">
        <f>F9</f>
        <v>Trịnh Văn Hưởng - Nguyễn Thị Lan</v>
      </c>
      <c r="G13" s="362"/>
      <c r="H13" s="362"/>
      <c r="I13" s="362"/>
      <c r="J13" s="45"/>
    </row>
    <row r="14" spans="1:17" s="42" customFormat="1" ht="19.899999999999999" customHeight="1" x14ac:dyDescent="0.25">
      <c r="A14" s="122"/>
      <c r="B14" s="24" t="s">
        <v>6</v>
      </c>
      <c r="C14" s="365" t="str">
        <f>+C10</f>
        <v>Thôn Quyết Thượng - xã Phú Nghĩa - TP Hà Nội</v>
      </c>
      <c r="D14" s="365"/>
      <c r="E14" s="365"/>
      <c r="F14" s="365"/>
      <c r="G14" s="365"/>
      <c r="H14" s="365"/>
      <c r="I14" s="365"/>
    </row>
    <row r="15" spans="1:17" s="42" customFormat="1" ht="19.899999999999999" customHeight="1" x14ac:dyDescent="0.25">
      <c r="A15" s="122"/>
      <c r="B15" s="24" t="s">
        <v>7</v>
      </c>
      <c r="C15" s="365" t="str">
        <f>+C14</f>
        <v>Thôn Quyết Thượng - xã Phú Nghĩa - TP Hà Nội</v>
      </c>
      <c r="D15" s="365"/>
      <c r="E15" s="365"/>
      <c r="F15" s="365"/>
      <c r="G15" s="365"/>
      <c r="H15" s="365"/>
      <c r="I15" s="365"/>
    </row>
    <row r="16" spans="1:17" s="42" customFormat="1" ht="19.899999999999999" customHeight="1" x14ac:dyDescent="0.25">
      <c r="A16" s="122"/>
      <c r="B16" s="24" t="s">
        <v>11</v>
      </c>
      <c r="C16" s="361" t="str">
        <f>+C12</f>
        <v>00105514876</v>
      </c>
      <c r="D16" s="361"/>
      <c r="E16" s="361"/>
      <c r="F16" s="43"/>
      <c r="G16" s="43"/>
      <c r="H16" s="43"/>
      <c r="I16" s="43"/>
    </row>
    <row r="17" spans="1:19" s="42" customFormat="1" ht="19.899999999999999" customHeight="1" x14ac:dyDescent="0.25">
      <c r="A17" s="121" t="s">
        <v>12</v>
      </c>
      <c r="B17" s="362" t="s">
        <v>13</v>
      </c>
      <c r="C17" s="362"/>
      <c r="D17" s="362"/>
      <c r="E17" s="362"/>
      <c r="F17" s="362"/>
      <c r="G17" s="362"/>
      <c r="H17" s="362"/>
      <c r="I17" s="362"/>
    </row>
    <row r="18" spans="1:19" s="42" customFormat="1" ht="19.899999999999999" customHeight="1" x14ac:dyDescent="0.25">
      <c r="A18" s="121" t="s">
        <v>4</v>
      </c>
      <c r="B18" s="46" t="s">
        <v>14</v>
      </c>
      <c r="E18" s="43"/>
    </row>
    <row r="19" spans="1:19" s="51" customFormat="1" ht="19.899999999999999" customHeight="1" x14ac:dyDescent="0.25">
      <c r="A19" s="123"/>
      <c r="B19" s="47" t="s">
        <v>15</v>
      </c>
      <c r="C19" s="48">
        <v>63</v>
      </c>
      <c r="D19" s="363" t="s">
        <v>16</v>
      </c>
      <c r="E19" s="363"/>
      <c r="F19" s="49" t="s">
        <v>113</v>
      </c>
      <c r="G19" s="50"/>
      <c r="I19" s="50"/>
    </row>
    <row r="20" spans="1:19" s="51" customFormat="1" ht="19.899999999999999" customHeight="1" x14ac:dyDescent="0.25">
      <c r="A20" s="123"/>
      <c r="B20" s="47" t="s">
        <v>17</v>
      </c>
      <c r="C20" s="52">
        <v>115.7</v>
      </c>
      <c r="D20" s="50" t="s">
        <v>105</v>
      </c>
      <c r="E20" s="53"/>
      <c r="F20" s="54"/>
      <c r="H20" s="55"/>
      <c r="I20" s="50"/>
    </row>
    <row r="21" spans="1:19" s="51" customFormat="1" ht="19.899999999999999" customHeight="1" x14ac:dyDescent="0.25">
      <c r="A21" s="123"/>
      <c r="B21" s="56" t="s">
        <v>18</v>
      </c>
      <c r="C21" s="57"/>
      <c r="D21" s="50"/>
      <c r="E21" s="53"/>
      <c r="F21" s="50"/>
      <c r="H21" s="55"/>
      <c r="I21" s="50"/>
    </row>
    <row r="22" spans="1:19" s="51" customFormat="1" ht="19.899999999999999" customHeight="1" x14ac:dyDescent="0.25">
      <c r="A22" s="123"/>
      <c r="B22" s="47" t="s">
        <v>19</v>
      </c>
      <c r="C22" s="52">
        <v>35.9</v>
      </c>
      <c r="D22" s="50" t="s">
        <v>105</v>
      </c>
      <c r="E22" s="53"/>
      <c r="F22" s="50"/>
      <c r="H22" s="55"/>
      <c r="I22" s="50"/>
    </row>
    <row r="23" spans="1:19" s="51" customFormat="1" ht="19.899999999999999" customHeight="1" x14ac:dyDescent="0.25">
      <c r="A23" s="123"/>
      <c r="B23" s="47" t="s">
        <v>20</v>
      </c>
      <c r="C23" s="57">
        <f>C20-C22</f>
        <v>79.800000000000011</v>
      </c>
      <c r="D23" s="50" t="s">
        <v>105</v>
      </c>
      <c r="E23" s="53"/>
      <c r="F23" s="50"/>
      <c r="H23" s="55"/>
      <c r="I23" s="50"/>
    </row>
    <row r="24" spans="1:19" s="42" customFormat="1" ht="21" customHeight="1" x14ac:dyDescent="0.25">
      <c r="A24" s="122"/>
      <c r="B24" s="24" t="s">
        <v>21</v>
      </c>
      <c r="C24" s="362" t="s">
        <v>581</v>
      </c>
      <c r="D24" s="362"/>
      <c r="E24" s="362"/>
      <c r="F24" s="362"/>
      <c r="G24" s="362"/>
      <c r="H24" s="362"/>
      <c r="I24" s="362"/>
    </row>
    <row r="25" spans="1:19" s="36" customFormat="1" ht="187.9" customHeight="1" x14ac:dyDescent="0.25">
      <c r="A25" s="39" t="s">
        <v>9</v>
      </c>
      <c r="B25" s="58" t="s">
        <v>73</v>
      </c>
      <c r="C25" s="366" t="s">
        <v>582</v>
      </c>
      <c r="D25" s="367"/>
      <c r="E25" s="367"/>
      <c r="F25" s="367"/>
      <c r="G25" s="367"/>
      <c r="H25" s="367"/>
      <c r="I25" s="367"/>
      <c r="J25" s="59"/>
      <c r="K25" s="59"/>
      <c r="L25" s="59"/>
      <c r="M25" s="59"/>
      <c r="N25" s="59"/>
      <c r="O25" s="59"/>
      <c r="P25" s="59"/>
      <c r="Q25" s="59"/>
      <c r="R25" s="59"/>
      <c r="S25" s="59"/>
    </row>
    <row r="26" spans="1:19" s="36" customFormat="1" ht="21" customHeight="1" x14ac:dyDescent="0.25">
      <c r="A26" s="39" t="s">
        <v>22</v>
      </c>
      <c r="B26" s="364" t="s">
        <v>82</v>
      </c>
      <c r="C26" s="364"/>
      <c r="D26" s="364"/>
      <c r="E26" s="364"/>
      <c r="F26" s="364"/>
      <c r="G26" s="60"/>
      <c r="H26" s="149" t="s">
        <v>112</v>
      </c>
      <c r="I26" s="60" t="s">
        <v>55</v>
      </c>
      <c r="J26" s="59"/>
      <c r="K26" s="59"/>
      <c r="L26" s="59"/>
      <c r="M26" s="59"/>
      <c r="N26" s="59"/>
      <c r="O26" s="59"/>
      <c r="P26" s="59"/>
      <c r="Q26" s="59"/>
      <c r="R26" s="59"/>
      <c r="S26" s="59"/>
    </row>
    <row r="27" spans="1:19" s="36" customFormat="1" ht="23.25" customHeight="1" x14ac:dyDescent="0.25">
      <c r="A27" s="39" t="s">
        <v>23</v>
      </c>
      <c r="B27" s="364" t="s">
        <v>65</v>
      </c>
      <c r="C27" s="364"/>
      <c r="D27" s="364"/>
      <c r="E27" s="364"/>
      <c r="F27" s="364"/>
      <c r="G27" s="364"/>
      <c r="H27" s="148" t="s">
        <v>113</v>
      </c>
      <c r="I27" s="60" t="s">
        <v>84</v>
      </c>
      <c r="J27" s="59"/>
      <c r="K27" s="59"/>
      <c r="L27" s="59"/>
      <c r="M27" s="59"/>
      <c r="N27" s="59"/>
      <c r="O27" s="59"/>
      <c r="P27" s="59"/>
      <c r="Q27" s="59"/>
      <c r="R27" s="59"/>
      <c r="S27" s="59"/>
    </row>
    <row r="28" spans="1:19" s="41" customFormat="1" x14ac:dyDescent="0.25">
      <c r="A28" s="39" t="s">
        <v>88</v>
      </c>
      <c r="B28" s="364" t="s">
        <v>87</v>
      </c>
      <c r="C28" s="364"/>
      <c r="D28" s="364"/>
      <c r="E28" s="364"/>
      <c r="F28" s="364"/>
      <c r="G28" s="364"/>
      <c r="H28" s="364"/>
      <c r="I28" s="364"/>
    </row>
    <row r="29" spans="1:19" s="40" customFormat="1" x14ac:dyDescent="0.25">
      <c r="A29" s="39" t="s">
        <v>4</v>
      </c>
      <c r="B29" s="360" t="s">
        <v>24</v>
      </c>
      <c r="C29" s="360"/>
      <c r="D29" s="360"/>
      <c r="E29" s="360"/>
      <c r="F29" s="360"/>
      <c r="G29" s="360"/>
      <c r="H29" s="360"/>
      <c r="I29" s="360"/>
      <c r="J29" s="41"/>
      <c r="K29" s="41"/>
      <c r="L29" s="41"/>
      <c r="M29" s="41"/>
      <c r="N29" s="41"/>
      <c r="O29" s="41"/>
      <c r="P29" s="41"/>
      <c r="Q29" s="41"/>
      <c r="R29" s="41"/>
      <c r="S29" s="41"/>
    </row>
    <row r="30" spans="1:19" s="24" customFormat="1" ht="32.25" customHeight="1" x14ac:dyDescent="0.25">
      <c r="A30" s="351" t="s">
        <v>25</v>
      </c>
      <c r="B30" s="353" t="s">
        <v>26</v>
      </c>
      <c r="C30" s="354"/>
      <c r="D30" s="354"/>
      <c r="E30" s="354"/>
      <c r="F30" s="354"/>
      <c r="G30" s="354"/>
      <c r="H30" s="354"/>
      <c r="I30" s="355"/>
    </row>
    <row r="31" spans="1:19" s="25" customFormat="1" ht="49.5" x14ac:dyDescent="0.25">
      <c r="A31" s="352"/>
      <c r="B31" s="353" t="s">
        <v>27</v>
      </c>
      <c r="C31" s="355"/>
      <c r="D31" s="21" t="s">
        <v>28</v>
      </c>
      <c r="E31" s="22" t="s">
        <v>29</v>
      </c>
      <c r="F31" s="22" t="s">
        <v>30</v>
      </c>
      <c r="G31" s="21" t="s">
        <v>31</v>
      </c>
      <c r="H31" s="22" t="s">
        <v>104</v>
      </c>
      <c r="I31" s="22" t="s">
        <v>33</v>
      </c>
    </row>
    <row r="32" spans="1:19" s="62" customFormat="1" ht="18.75" customHeight="1" x14ac:dyDescent="0.25">
      <c r="A32" s="61">
        <v>1</v>
      </c>
      <c r="B32" s="356">
        <v>2</v>
      </c>
      <c r="C32" s="357"/>
      <c r="D32" s="61">
        <v>3</v>
      </c>
      <c r="E32" s="61">
        <v>4</v>
      </c>
      <c r="F32" s="61">
        <v>5</v>
      </c>
      <c r="G32" s="61">
        <v>6</v>
      </c>
      <c r="H32" s="61">
        <v>7</v>
      </c>
      <c r="I32" s="61">
        <v>8</v>
      </c>
    </row>
    <row r="33" spans="1:9" s="68" customFormat="1" ht="39" customHeight="1" x14ac:dyDescent="0.25">
      <c r="A33" s="63">
        <v>1</v>
      </c>
      <c r="B33" s="358" t="s">
        <v>563</v>
      </c>
      <c r="C33" s="359"/>
      <c r="D33" s="64" t="s">
        <v>106</v>
      </c>
      <c r="E33" s="65">
        <f>C22</f>
        <v>35.9</v>
      </c>
      <c r="F33" s="63"/>
      <c r="G33" s="66"/>
      <c r="H33" s="166">
        <f>E33*F33*G33</f>
        <v>0</v>
      </c>
      <c r="I33" s="67"/>
    </row>
    <row r="34" spans="1:9" s="71" customFormat="1" ht="30.75" customHeight="1" x14ac:dyDescent="0.25">
      <c r="A34" s="69"/>
      <c r="B34" s="349" t="s">
        <v>34</v>
      </c>
      <c r="C34" s="350"/>
      <c r="D34" s="69"/>
      <c r="E34" s="69"/>
      <c r="F34" s="69"/>
      <c r="G34" s="69"/>
      <c r="H34" s="169">
        <f>SUM(H33:H33)</f>
        <v>0</v>
      </c>
      <c r="I34" s="69"/>
    </row>
    <row r="35" spans="1:9" ht="11.25" customHeight="1" x14ac:dyDescent="0.25">
      <c r="A35" s="77"/>
      <c r="B35" s="72"/>
      <c r="C35" s="72"/>
      <c r="D35" s="73"/>
      <c r="E35" s="73"/>
      <c r="F35" s="73"/>
      <c r="G35" s="73"/>
      <c r="H35" s="73"/>
      <c r="I35" s="73"/>
    </row>
    <row r="36" spans="1:9" x14ac:dyDescent="0.25">
      <c r="A36" s="75" t="s">
        <v>9</v>
      </c>
      <c r="B36" s="360" t="s">
        <v>35</v>
      </c>
      <c r="C36" s="360"/>
      <c r="D36" s="360"/>
      <c r="E36" s="360"/>
      <c r="F36" s="360"/>
      <c r="G36" s="360"/>
      <c r="H36" s="360"/>
      <c r="I36" s="360"/>
    </row>
    <row r="37" spans="1:9" s="23" customFormat="1" ht="49.5" x14ac:dyDescent="0.25">
      <c r="A37" s="29" t="s">
        <v>25</v>
      </c>
      <c r="B37" s="353" t="s">
        <v>27</v>
      </c>
      <c r="C37" s="355"/>
      <c r="D37" s="21" t="s">
        <v>28</v>
      </c>
      <c r="E37" s="22" t="s">
        <v>29</v>
      </c>
      <c r="F37" s="22" t="s">
        <v>30</v>
      </c>
      <c r="G37" s="21" t="s">
        <v>31</v>
      </c>
      <c r="H37" s="22" t="s">
        <v>32</v>
      </c>
      <c r="I37" s="22" t="s">
        <v>33</v>
      </c>
    </row>
    <row r="38" spans="1:9" s="62" customFormat="1" ht="18" customHeight="1" x14ac:dyDescent="0.25">
      <c r="A38" s="61">
        <v>1</v>
      </c>
      <c r="B38" s="356">
        <v>2</v>
      </c>
      <c r="C38" s="357"/>
      <c r="D38" s="61">
        <v>3</v>
      </c>
      <c r="E38" s="61">
        <v>4</v>
      </c>
      <c r="F38" s="61">
        <v>5</v>
      </c>
      <c r="G38" s="61">
        <v>6</v>
      </c>
      <c r="H38" s="61">
        <v>7</v>
      </c>
      <c r="I38" s="61">
        <v>8</v>
      </c>
    </row>
    <row r="39" spans="1:9" ht="37.5" customHeight="1" x14ac:dyDescent="0.25">
      <c r="A39" s="26">
        <v>1</v>
      </c>
      <c r="B39" s="353"/>
      <c r="C39" s="355"/>
      <c r="D39" s="27"/>
      <c r="E39" s="22"/>
      <c r="F39" s="27"/>
      <c r="G39" s="27"/>
      <c r="H39" s="27"/>
      <c r="I39" s="26" t="s">
        <v>36</v>
      </c>
    </row>
    <row r="40" spans="1:9" s="71" customFormat="1" ht="25.5" customHeight="1" x14ac:dyDescent="0.25">
      <c r="A40" s="69"/>
      <c r="B40" s="349" t="s">
        <v>34</v>
      </c>
      <c r="C40" s="350"/>
      <c r="D40" s="74"/>
      <c r="E40" s="69"/>
      <c r="F40" s="74"/>
      <c r="G40" s="74"/>
      <c r="H40" s="74"/>
      <c r="I40" s="69"/>
    </row>
    <row r="41" spans="1:9" x14ac:dyDescent="0.25">
      <c r="A41" s="124"/>
      <c r="B41" s="75"/>
      <c r="C41" s="75"/>
      <c r="D41" s="76"/>
      <c r="E41" s="75"/>
      <c r="F41" s="76"/>
      <c r="G41" s="76"/>
      <c r="H41" s="76"/>
      <c r="I41" s="75"/>
    </row>
    <row r="42" spans="1:9" x14ac:dyDescent="0.25">
      <c r="A42" s="324"/>
      <c r="B42" s="327" t="s">
        <v>37</v>
      </c>
      <c r="C42" s="328"/>
      <c r="D42" s="328"/>
      <c r="E42" s="328"/>
      <c r="F42" s="328"/>
      <c r="G42" s="329"/>
      <c r="H42" s="27"/>
      <c r="I42" s="26" t="s">
        <v>74</v>
      </c>
    </row>
    <row r="43" spans="1:9" x14ac:dyDescent="0.25">
      <c r="A43" s="325"/>
      <c r="B43" s="330" t="s">
        <v>38</v>
      </c>
      <c r="C43" s="331"/>
      <c r="D43" s="331"/>
      <c r="E43" s="331"/>
      <c r="F43" s="331"/>
      <c r="G43" s="332"/>
      <c r="H43" s="27"/>
      <c r="I43" s="26" t="s">
        <v>74</v>
      </c>
    </row>
    <row r="44" spans="1:9" x14ac:dyDescent="0.25">
      <c r="A44" s="326"/>
      <c r="B44" s="333" t="s">
        <v>39</v>
      </c>
      <c r="C44" s="334"/>
      <c r="D44" s="334"/>
      <c r="E44" s="334"/>
      <c r="F44" s="334"/>
      <c r="G44" s="335"/>
      <c r="H44" s="27"/>
      <c r="I44" s="26" t="s">
        <v>74</v>
      </c>
    </row>
    <row r="45" spans="1:9" ht="7.5" customHeight="1" x14ac:dyDescent="0.25">
      <c r="A45" s="77"/>
      <c r="B45" s="72"/>
      <c r="C45" s="72"/>
      <c r="D45" s="72"/>
      <c r="E45" s="78"/>
      <c r="F45" s="72"/>
      <c r="G45" s="72"/>
      <c r="H45" s="79"/>
      <c r="I45" s="79"/>
    </row>
    <row r="46" spans="1:9" ht="26.25" customHeight="1" x14ac:dyDescent="0.25">
      <c r="A46" s="125" t="s">
        <v>22</v>
      </c>
      <c r="B46" s="336" t="s">
        <v>40</v>
      </c>
      <c r="C46" s="336"/>
      <c r="D46" s="336"/>
      <c r="E46" s="336"/>
      <c r="F46" s="336"/>
      <c r="G46" s="336"/>
      <c r="H46" s="80"/>
      <c r="I46" s="81"/>
    </row>
    <row r="47" spans="1:9" s="30" customFormat="1" ht="49.5" x14ac:dyDescent="0.25">
      <c r="A47" s="21" t="s">
        <v>25</v>
      </c>
      <c r="B47" s="21" t="s">
        <v>41</v>
      </c>
      <c r="C47" s="21" t="s">
        <v>28</v>
      </c>
      <c r="D47" s="21" t="s">
        <v>42</v>
      </c>
      <c r="E47" s="21" t="s">
        <v>43</v>
      </c>
      <c r="F47" s="22" t="s">
        <v>30</v>
      </c>
      <c r="G47" s="21" t="s">
        <v>31</v>
      </c>
      <c r="H47" s="21" t="s">
        <v>45</v>
      </c>
      <c r="I47" s="21" t="s">
        <v>33</v>
      </c>
    </row>
    <row r="48" spans="1:9" s="83" customFormat="1" ht="18" customHeight="1" x14ac:dyDescent="0.25">
      <c r="A48" s="82">
        <v>1</v>
      </c>
      <c r="B48" s="82">
        <v>2</v>
      </c>
      <c r="C48" s="82">
        <v>3</v>
      </c>
      <c r="D48" s="82">
        <v>4</v>
      </c>
      <c r="E48" s="82">
        <v>5</v>
      </c>
      <c r="F48" s="82">
        <v>6</v>
      </c>
      <c r="G48" s="82">
        <v>7</v>
      </c>
      <c r="H48" s="82">
        <v>8</v>
      </c>
      <c r="I48" s="82">
        <v>9</v>
      </c>
    </row>
    <row r="49" spans="1:12" s="89" customFormat="1" ht="30" customHeight="1" x14ac:dyDescent="0.25">
      <c r="A49" s="21" t="s">
        <v>46</v>
      </c>
      <c r="B49" s="84" t="s">
        <v>47</v>
      </c>
      <c r="C49" s="85"/>
      <c r="D49" s="85"/>
      <c r="E49" s="86"/>
      <c r="F49" s="85"/>
      <c r="G49" s="85"/>
      <c r="H49" s="157">
        <f>SUM(H50:H53)</f>
        <v>0</v>
      </c>
      <c r="I49" s="88"/>
    </row>
    <row r="50" spans="1:12" s="89" customFormat="1" ht="74.45" customHeight="1" x14ac:dyDescent="0.25">
      <c r="A50" s="90">
        <v>1</v>
      </c>
      <c r="B50" s="91" t="s">
        <v>422</v>
      </c>
      <c r="C50" s="64" t="s">
        <v>106</v>
      </c>
      <c r="D50" s="96" t="s">
        <v>335</v>
      </c>
      <c r="E50" s="234">
        <f>(6.1+6.46)/2*4.55</f>
        <v>28.573999999999995</v>
      </c>
      <c r="F50" s="93"/>
      <c r="G50" s="93"/>
      <c r="H50" s="94"/>
      <c r="I50" s="324" t="s">
        <v>110</v>
      </c>
    </row>
    <row r="51" spans="1:12" s="89" customFormat="1" ht="31.9" customHeight="1" x14ac:dyDescent="0.25">
      <c r="A51" s="244"/>
      <c r="B51" s="132" t="s">
        <v>423</v>
      </c>
      <c r="C51" s="64" t="s">
        <v>106</v>
      </c>
      <c r="D51" s="96" t="s">
        <v>340</v>
      </c>
      <c r="E51" s="130">
        <f>6.5*4.55</f>
        <v>29.574999999999999</v>
      </c>
      <c r="F51" s="93"/>
      <c r="G51" s="93"/>
      <c r="H51" s="94"/>
      <c r="I51" s="325"/>
    </row>
    <row r="52" spans="1:12" s="89" customFormat="1" ht="33.75" customHeight="1" x14ac:dyDescent="0.25">
      <c r="A52" s="90">
        <v>2</v>
      </c>
      <c r="B52" s="132" t="s">
        <v>336</v>
      </c>
      <c r="C52" s="64" t="s">
        <v>106</v>
      </c>
      <c r="D52" s="96" t="s">
        <v>337</v>
      </c>
      <c r="E52" s="130">
        <f>1.69*4.55</f>
        <v>7.6894999999999998</v>
      </c>
      <c r="F52" s="93"/>
      <c r="G52" s="93"/>
      <c r="H52" s="94"/>
      <c r="I52" s="325"/>
    </row>
    <row r="53" spans="1:12" s="227" customFormat="1" ht="33.75" customHeight="1" x14ac:dyDescent="0.25">
      <c r="A53" s="96">
        <v>3</v>
      </c>
      <c r="B53" s="251" t="s">
        <v>338</v>
      </c>
      <c r="C53" s="64" t="s">
        <v>106</v>
      </c>
      <c r="D53" s="96" t="s">
        <v>339</v>
      </c>
      <c r="E53" s="130">
        <f>4.55*5</f>
        <v>22.75</v>
      </c>
      <c r="F53" s="93"/>
      <c r="G53" s="93"/>
      <c r="H53" s="94"/>
      <c r="I53" s="325"/>
    </row>
    <row r="54" spans="1:12" s="89" customFormat="1" ht="27" customHeight="1" x14ac:dyDescent="0.25">
      <c r="A54" s="90">
        <v>4</v>
      </c>
      <c r="B54" s="132" t="s">
        <v>341</v>
      </c>
      <c r="C54" s="187" t="s">
        <v>92</v>
      </c>
      <c r="D54" s="96" t="s">
        <v>163</v>
      </c>
      <c r="E54" s="96">
        <v>12</v>
      </c>
      <c r="F54" s="93"/>
      <c r="G54" s="93"/>
      <c r="H54" s="94"/>
      <c r="I54" s="325"/>
    </row>
    <row r="55" spans="1:12" s="89" customFormat="1" ht="25.5" customHeight="1" x14ac:dyDescent="0.25">
      <c r="A55" s="21" t="s">
        <v>48</v>
      </c>
      <c r="B55" s="84" t="s">
        <v>49</v>
      </c>
      <c r="C55" s="85"/>
      <c r="D55" s="85"/>
      <c r="E55" s="92"/>
      <c r="F55" s="85"/>
      <c r="G55" s="85"/>
      <c r="H55" s="157">
        <f>SUM(H56:H56)</f>
        <v>0</v>
      </c>
      <c r="I55" s="326"/>
    </row>
    <row r="56" spans="1:12" s="89" customFormat="1" x14ac:dyDescent="0.25">
      <c r="A56" s="90">
        <v>1</v>
      </c>
      <c r="B56" s="91"/>
      <c r="C56" s="93"/>
      <c r="D56" s="90"/>
      <c r="E56" s="92"/>
      <c r="F56" s="97"/>
      <c r="G56" s="98"/>
      <c r="H56" s="184"/>
      <c r="I56" s="99"/>
    </row>
    <row r="57" spans="1:12" s="102" customFormat="1" ht="31.5" customHeight="1" x14ac:dyDescent="0.25">
      <c r="A57" s="126"/>
      <c r="B57" s="100" t="s">
        <v>50</v>
      </c>
      <c r="C57" s="100"/>
      <c r="D57" s="100"/>
      <c r="E57" s="100"/>
      <c r="F57" s="100"/>
      <c r="G57" s="100"/>
      <c r="H57" s="158">
        <f>H49+H55</f>
        <v>0</v>
      </c>
      <c r="I57" s="101"/>
    </row>
    <row r="58" spans="1:12" ht="22.5" customHeight="1" x14ac:dyDescent="0.25">
      <c r="A58" s="127">
        <v>4</v>
      </c>
      <c r="B58" s="337" t="s">
        <v>51</v>
      </c>
      <c r="C58" s="337"/>
      <c r="D58" s="337"/>
      <c r="E58" s="337"/>
      <c r="F58" s="337"/>
      <c r="G58" s="337"/>
      <c r="H58" s="51"/>
      <c r="I58" s="51"/>
    </row>
    <row r="59" spans="1:12" s="104" customFormat="1" ht="49.5" x14ac:dyDescent="0.25">
      <c r="A59" s="103" t="s">
        <v>25</v>
      </c>
      <c r="B59" s="338" t="s">
        <v>52</v>
      </c>
      <c r="C59" s="339"/>
      <c r="D59" s="21" t="s">
        <v>29</v>
      </c>
      <c r="E59" s="21" t="s">
        <v>53</v>
      </c>
      <c r="F59" s="21" t="s">
        <v>44</v>
      </c>
      <c r="G59" s="21" t="s">
        <v>54</v>
      </c>
      <c r="H59" s="21" t="s">
        <v>45</v>
      </c>
      <c r="I59" s="21" t="s">
        <v>33</v>
      </c>
    </row>
    <row r="60" spans="1:12" ht="24" customHeight="1" x14ac:dyDescent="0.25">
      <c r="A60" s="105"/>
      <c r="B60" s="340"/>
      <c r="C60" s="341"/>
      <c r="D60" s="106"/>
      <c r="E60" s="105"/>
      <c r="F60" s="107"/>
      <c r="G60" s="108"/>
      <c r="H60" s="176"/>
      <c r="I60" s="109"/>
      <c r="L60" s="110"/>
    </row>
    <row r="61" spans="1:12" s="112" customFormat="1" ht="27.75" customHeight="1" x14ac:dyDescent="0.25">
      <c r="A61" s="126"/>
      <c r="B61" s="342" t="s">
        <v>34</v>
      </c>
      <c r="C61" s="343"/>
      <c r="D61" s="100"/>
      <c r="E61" s="100"/>
      <c r="F61" s="100"/>
      <c r="G61" s="100"/>
      <c r="H61" s="163">
        <f>SUM(H60)</f>
        <v>0</v>
      </c>
      <c r="I61" s="111"/>
      <c r="L61" s="113"/>
    </row>
    <row r="62" spans="1:12" s="115" customFormat="1" ht="27.75" customHeight="1" x14ac:dyDescent="0.25">
      <c r="A62" s="128">
        <v>5</v>
      </c>
      <c r="B62" s="344" t="s">
        <v>56</v>
      </c>
      <c r="C62" s="344"/>
      <c r="D62" s="344"/>
      <c r="E62" s="344"/>
      <c r="F62" s="344"/>
      <c r="G62" s="345"/>
      <c r="H62" s="164">
        <f>H61+H57+H40+H34</f>
        <v>0</v>
      </c>
      <c r="I62" s="114" t="s">
        <v>57</v>
      </c>
    </row>
    <row r="63" spans="1:12" s="117" customFormat="1" ht="17.25" x14ac:dyDescent="0.25">
      <c r="A63" s="129"/>
      <c r="B63" s="116" t="s">
        <v>78</v>
      </c>
      <c r="C63" s="346" t="s">
        <v>91</v>
      </c>
      <c r="D63" s="346"/>
      <c r="E63" s="346"/>
      <c r="F63" s="346"/>
      <c r="G63" s="346"/>
      <c r="H63" s="346"/>
      <c r="I63" s="346"/>
    </row>
    <row r="64" spans="1:12" s="41" customFormat="1" ht="17.25" hidden="1" x14ac:dyDescent="0.3">
      <c r="A64" s="39"/>
      <c r="B64" s="118"/>
      <c r="E64" s="119"/>
      <c r="F64" s="316" t="s">
        <v>75</v>
      </c>
      <c r="G64" s="316"/>
      <c r="H64" s="316"/>
      <c r="I64" s="316"/>
    </row>
    <row r="65" spans="1:9" hidden="1" x14ac:dyDescent="0.25">
      <c r="F65" s="316" t="s">
        <v>76</v>
      </c>
      <c r="G65" s="316"/>
      <c r="H65" s="316"/>
      <c r="I65" s="316"/>
    </row>
    <row r="66" spans="1:9" hidden="1" x14ac:dyDescent="0.25">
      <c r="F66" s="317"/>
      <c r="G66" s="317"/>
      <c r="H66" s="317"/>
      <c r="I66" s="317"/>
    </row>
    <row r="67" spans="1:9" hidden="1" x14ac:dyDescent="0.25"/>
    <row r="68" spans="1:9" hidden="1" x14ac:dyDescent="0.25"/>
    <row r="69" spans="1:9" hidden="1" x14ac:dyDescent="0.25"/>
    <row r="70" spans="1:9" hidden="1" x14ac:dyDescent="0.25"/>
    <row r="71" spans="1:9" hidden="1" x14ac:dyDescent="0.25"/>
    <row r="72" spans="1:9" hidden="1" x14ac:dyDescent="0.25">
      <c r="F72" s="318" t="s">
        <v>77</v>
      </c>
      <c r="G72" s="318"/>
      <c r="H72" s="318"/>
      <c r="I72" s="318"/>
    </row>
    <row r="73" spans="1:9" ht="57.75" customHeight="1" x14ac:dyDescent="0.25">
      <c r="A73" s="319" t="s">
        <v>100</v>
      </c>
      <c r="B73" s="319"/>
      <c r="C73" s="319"/>
      <c r="D73" s="319"/>
      <c r="E73" s="319"/>
      <c r="F73" s="319"/>
      <c r="G73" s="319"/>
      <c r="H73" s="319"/>
      <c r="I73" s="319"/>
    </row>
    <row r="74" spans="1:9" x14ac:dyDescent="0.25">
      <c r="A74" s="315" t="s">
        <v>102</v>
      </c>
      <c r="B74" s="315"/>
      <c r="C74" s="315"/>
      <c r="D74" s="315"/>
      <c r="E74" s="315"/>
      <c r="F74" s="315"/>
      <c r="G74" s="315"/>
      <c r="H74" s="315"/>
      <c r="I74" s="315"/>
    </row>
    <row r="75" spans="1:9" x14ac:dyDescent="0.25">
      <c r="A75" s="320" t="s">
        <v>107</v>
      </c>
      <c r="B75" s="320"/>
      <c r="C75" s="320"/>
      <c r="D75" s="321"/>
      <c r="E75" s="322" t="s">
        <v>108</v>
      </c>
      <c r="F75" s="323"/>
      <c r="G75" s="323"/>
      <c r="H75" s="323"/>
      <c r="I75" s="323"/>
    </row>
    <row r="76" spans="1:9" x14ac:dyDescent="0.25">
      <c r="A76" s="320"/>
      <c r="B76" s="320"/>
      <c r="C76" s="320"/>
      <c r="D76" s="321"/>
      <c r="E76" s="322"/>
      <c r="F76" s="323"/>
      <c r="G76" s="323"/>
      <c r="H76" s="323"/>
      <c r="I76" s="323"/>
    </row>
    <row r="77" spans="1:9" x14ac:dyDescent="0.25">
      <c r="A77" s="320"/>
      <c r="B77" s="320"/>
      <c r="C77" s="320"/>
      <c r="D77" s="321"/>
      <c r="E77" s="38"/>
      <c r="I77" s="20"/>
    </row>
    <row r="78" spans="1:9" x14ac:dyDescent="0.25">
      <c r="A78" s="315" t="s">
        <v>101</v>
      </c>
      <c r="B78" s="315"/>
      <c r="C78" s="315"/>
      <c r="D78" s="315"/>
      <c r="E78" s="315"/>
      <c r="F78" s="315"/>
      <c r="G78" s="315"/>
      <c r="H78" s="315"/>
      <c r="I78" s="315"/>
    </row>
  </sheetData>
  <mergeCells count="59">
    <mergeCell ref="A73:I73"/>
    <mergeCell ref="A74:I74"/>
    <mergeCell ref="A75:D77"/>
    <mergeCell ref="E75:I76"/>
    <mergeCell ref="A78:I78"/>
    <mergeCell ref="F72:I72"/>
    <mergeCell ref="B46:G46"/>
    <mergeCell ref="B58:G58"/>
    <mergeCell ref="B59:C59"/>
    <mergeCell ref="B60:C60"/>
    <mergeCell ref="B61:C61"/>
    <mergeCell ref="B62:G62"/>
    <mergeCell ref="C63:I63"/>
    <mergeCell ref="F64:I64"/>
    <mergeCell ref="F65:I65"/>
    <mergeCell ref="F66:I66"/>
    <mergeCell ref="I50:I55"/>
    <mergeCell ref="B39:C39"/>
    <mergeCell ref="B40:C40"/>
    <mergeCell ref="A42:A44"/>
    <mergeCell ref="B42:G42"/>
    <mergeCell ref="B43:G43"/>
    <mergeCell ref="B44:G44"/>
    <mergeCell ref="B38:C38"/>
    <mergeCell ref="B27:G27"/>
    <mergeCell ref="B28:I28"/>
    <mergeCell ref="B29:I29"/>
    <mergeCell ref="A30:A31"/>
    <mergeCell ref="B30:I30"/>
    <mergeCell ref="B31:C31"/>
    <mergeCell ref="B32:C32"/>
    <mergeCell ref="B33:C33"/>
    <mergeCell ref="B34:C34"/>
    <mergeCell ref="B36:I36"/>
    <mergeCell ref="B37:C37"/>
    <mergeCell ref="B26:F26"/>
    <mergeCell ref="C10:I10"/>
    <mergeCell ref="C11:I11"/>
    <mergeCell ref="C12:E12"/>
    <mergeCell ref="F13:I13"/>
    <mergeCell ref="C14:I14"/>
    <mergeCell ref="C15:I15"/>
    <mergeCell ref="C16:E16"/>
    <mergeCell ref="B17:I17"/>
    <mergeCell ref="D19:E19"/>
    <mergeCell ref="C24:I24"/>
    <mergeCell ref="C25:I25"/>
    <mergeCell ref="A5:I5"/>
    <mergeCell ref="A6:I6"/>
    <mergeCell ref="A7:I7"/>
    <mergeCell ref="B8:I8"/>
    <mergeCell ref="B9:E9"/>
    <mergeCell ref="F9:I9"/>
    <mergeCell ref="A1:D1"/>
    <mergeCell ref="E1:I1"/>
    <mergeCell ref="A2:D2"/>
    <mergeCell ref="E2:I2"/>
    <mergeCell ref="A4:D4"/>
    <mergeCell ref="E4:I4"/>
  </mergeCells>
  <pageMargins left="0.19685039370078741" right="0.15748031496062992" top="0.35433070866141736" bottom="0.35433070866141736" header="0.19685039370078741" footer="0.15748031496062992"/>
  <pageSetup paperSize="9" scale="80" orientation="portrait" r:id="rId1"/>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79"/>
  <sheetViews>
    <sheetView topLeftCell="A28" workbookViewId="0">
      <selection activeCell="B33" sqref="B33:C33"/>
    </sheetView>
  </sheetViews>
  <sheetFormatPr defaultColWidth="9.140625" defaultRowHeight="16.5" x14ac:dyDescent="0.25"/>
  <cols>
    <col min="1" max="1" width="4.42578125" style="68" customWidth="1"/>
    <col min="2" max="2" width="28.140625" style="20" customWidth="1"/>
    <col min="3" max="3" width="9.140625" style="20" customWidth="1"/>
    <col min="4" max="4" width="23.28515625" style="20" customWidth="1"/>
    <col min="5" max="5" width="9.28515625" style="23" customWidth="1"/>
    <col min="6" max="6" width="12" style="20" customWidth="1"/>
    <col min="7" max="7" width="9.42578125" style="20" customWidth="1"/>
    <col min="8" max="8" width="13.140625" style="20" customWidth="1"/>
    <col min="9" max="9" width="16.140625" style="120" customWidth="1"/>
    <col min="10" max="10" width="12.28515625" style="20" customWidth="1"/>
    <col min="11" max="11" width="9.140625" style="20" customWidth="1"/>
    <col min="12" max="12" width="11.42578125" style="20" customWidth="1"/>
    <col min="13" max="19" width="9.140625" style="20" customWidth="1"/>
    <col min="20" max="16384" width="9.140625" style="20"/>
  </cols>
  <sheetData>
    <row r="1" spans="1:17" s="36" customFormat="1" ht="21.75" customHeight="1" x14ac:dyDescent="0.25">
      <c r="A1" s="368" t="s">
        <v>98</v>
      </c>
      <c r="B1" s="368"/>
      <c r="C1" s="368"/>
      <c r="D1" s="368"/>
      <c r="E1" s="368" t="s">
        <v>0</v>
      </c>
      <c r="F1" s="368"/>
      <c r="G1" s="368"/>
      <c r="H1" s="368"/>
      <c r="I1" s="368"/>
    </row>
    <row r="2" spans="1:17" s="36" customFormat="1" x14ac:dyDescent="0.25">
      <c r="A2" s="369" t="s">
        <v>99</v>
      </c>
      <c r="B2" s="369"/>
      <c r="C2" s="369"/>
      <c r="D2" s="369"/>
      <c r="E2" s="369" t="s">
        <v>1</v>
      </c>
      <c r="F2" s="368"/>
      <c r="G2" s="368"/>
      <c r="H2" s="368"/>
      <c r="I2" s="368"/>
    </row>
    <row r="3" spans="1:17" s="36" customFormat="1" ht="15.75" customHeight="1" x14ac:dyDescent="0.25">
      <c r="A3" s="39"/>
      <c r="C3" s="39"/>
      <c r="D3" s="39"/>
      <c r="E3" s="39"/>
      <c r="F3" s="39"/>
      <c r="G3" s="39"/>
      <c r="H3" s="39"/>
      <c r="I3" s="37"/>
    </row>
    <row r="4" spans="1:17" s="36" customFormat="1" ht="19.5" customHeight="1" x14ac:dyDescent="0.25">
      <c r="A4" s="369" t="s">
        <v>89</v>
      </c>
      <c r="B4" s="369"/>
      <c r="C4" s="369"/>
      <c r="D4" s="369"/>
      <c r="E4" s="370" t="s">
        <v>185</v>
      </c>
      <c r="F4" s="370"/>
      <c r="G4" s="370"/>
      <c r="H4" s="370"/>
      <c r="I4" s="370"/>
    </row>
    <row r="5" spans="1:17" s="40" customFormat="1" ht="24.75" customHeight="1" x14ac:dyDescent="0.25">
      <c r="A5" s="371" t="s">
        <v>85</v>
      </c>
      <c r="B5" s="371"/>
      <c r="C5" s="371"/>
      <c r="D5" s="371"/>
      <c r="E5" s="371"/>
      <c r="F5" s="371"/>
      <c r="G5" s="371"/>
      <c r="H5" s="371"/>
      <c r="I5" s="371"/>
    </row>
    <row r="6" spans="1:17" s="40" customFormat="1" ht="37.5" customHeight="1" x14ac:dyDescent="0.25">
      <c r="A6" s="372" t="s">
        <v>86</v>
      </c>
      <c r="B6" s="372"/>
      <c r="C6" s="372"/>
      <c r="D6" s="372"/>
      <c r="E6" s="372"/>
      <c r="F6" s="372"/>
      <c r="G6" s="372"/>
      <c r="H6" s="372"/>
      <c r="I6" s="372"/>
      <c r="Q6" s="41"/>
    </row>
    <row r="7" spans="1:17" s="40" customFormat="1" ht="39.75" customHeight="1" x14ac:dyDescent="0.25">
      <c r="A7" s="373" t="s">
        <v>166</v>
      </c>
      <c r="B7" s="373"/>
      <c r="C7" s="373"/>
      <c r="D7" s="373"/>
      <c r="E7" s="373"/>
      <c r="F7" s="373"/>
      <c r="G7" s="373"/>
      <c r="H7" s="373"/>
      <c r="I7" s="373"/>
    </row>
    <row r="8" spans="1:17" s="42" customFormat="1" ht="21.95" customHeight="1" x14ac:dyDescent="0.25">
      <c r="A8" s="121" t="s">
        <v>2</v>
      </c>
      <c r="B8" s="362" t="s">
        <v>3</v>
      </c>
      <c r="C8" s="362"/>
      <c r="D8" s="362"/>
      <c r="E8" s="362"/>
      <c r="F8" s="362"/>
      <c r="G8" s="362"/>
      <c r="H8" s="362"/>
      <c r="I8" s="362"/>
    </row>
    <row r="9" spans="1:17" s="42" customFormat="1" ht="21.95" customHeight="1" x14ac:dyDescent="0.25">
      <c r="A9" s="121" t="s">
        <v>4</v>
      </c>
      <c r="B9" s="374" t="s">
        <v>5</v>
      </c>
      <c r="C9" s="374"/>
      <c r="D9" s="374"/>
      <c r="E9" s="374"/>
      <c r="F9" s="375" t="s">
        <v>342</v>
      </c>
      <c r="G9" s="375"/>
      <c r="H9" s="375"/>
      <c r="I9" s="375"/>
    </row>
    <row r="10" spans="1:17" s="42" customFormat="1" ht="21.95" customHeight="1" x14ac:dyDescent="0.25">
      <c r="A10" s="122"/>
      <c r="B10" s="24" t="s">
        <v>6</v>
      </c>
      <c r="C10" s="365" t="s">
        <v>146</v>
      </c>
      <c r="D10" s="365"/>
      <c r="E10" s="365"/>
      <c r="F10" s="365"/>
      <c r="G10" s="365"/>
      <c r="H10" s="365"/>
      <c r="I10" s="365"/>
    </row>
    <row r="11" spans="1:17" s="42" customFormat="1" ht="21.95" customHeight="1" x14ac:dyDescent="0.25">
      <c r="A11" s="122"/>
      <c r="B11" s="24" t="s">
        <v>7</v>
      </c>
      <c r="C11" s="365" t="s">
        <v>146</v>
      </c>
      <c r="D11" s="365"/>
      <c r="E11" s="365"/>
      <c r="F11" s="365"/>
      <c r="G11" s="365"/>
      <c r="H11" s="365"/>
      <c r="I11" s="365"/>
    </row>
    <row r="12" spans="1:17" s="42" customFormat="1" ht="21.95" customHeight="1" x14ac:dyDescent="0.25">
      <c r="A12" s="122"/>
      <c r="B12" s="24" t="s">
        <v>11</v>
      </c>
      <c r="C12" s="361" t="s">
        <v>343</v>
      </c>
      <c r="D12" s="361"/>
      <c r="E12" s="361"/>
      <c r="F12" s="43"/>
      <c r="G12" s="43"/>
      <c r="H12" s="43"/>
      <c r="I12" s="43"/>
    </row>
    <row r="13" spans="1:17" s="42" customFormat="1" ht="21.95" customHeight="1" x14ac:dyDescent="0.25">
      <c r="A13" s="121" t="s">
        <v>9</v>
      </c>
      <c r="B13" s="44" t="s">
        <v>10</v>
      </c>
      <c r="E13" s="43"/>
      <c r="F13" s="362" t="str">
        <f>F9</f>
        <v>Nguyễn Ngọc Dũng</v>
      </c>
      <c r="G13" s="362"/>
      <c r="H13" s="362"/>
      <c r="I13" s="362"/>
      <c r="J13" s="45"/>
    </row>
    <row r="14" spans="1:17" s="42" customFormat="1" ht="21.95" customHeight="1" x14ac:dyDescent="0.25">
      <c r="A14" s="122"/>
      <c r="B14" s="24" t="s">
        <v>6</v>
      </c>
      <c r="C14" s="365" t="str">
        <f>+C10</f>
        <v>Thôn Phố Gốt - xã Phú Nghĩa - TP Hà Nội</v>
      </c>
      <c r="D14" s="365"/>
      <c r="E14" s="365"/>
      <c r="F14" s="365"/>
      <c r="G14" s="365"/>
      <c r="H14" s="365"/>
      <c r="I14" s="365"/>
    </row>
    <row r="15" spans="1:17" s="42" customFormat="1" ht="21.95" customHeight="1" x14ac:dyDescent="0.25">
      <c r="A15" s="122"/>
      <c r="B15" s="24" t="s">
        <v>7</v>
      </c>
      <c r="C15" s="365" t="str">
        <f>+C14</f>
        <v>Thôn Phố Gốt - xã Phú Nghĩa - TP Hà Nội</v>
      </c>
      <c r="D15" s="365"/>
      <c r="E15" s="365"/>
      <c r="F15" s="365"/>
      <c r="G15" s="365"/>
      <c r="H15" s="365"/>
      <c r="I15" s="365"/>
    </row>
    <row r="16" spans="1:17" s="42" customFormat="1" ht="21.95" customHeight="1" x14ac:dyDescent="0.25">
      <c r="A16" s="122"/>
      <c r="B16" s="24" t="s">
        <v>11</v>
      </c>
      <c r="C16" s="361" t="str">
        <f>+C12</f>
        <v>001003024954</v>
      </c>
      <c r="D16" s="361"/>
      <c r="E16" s="361"/>
      <c r="F16" s="43"/>
      <c r="G16" s="43"/>
      <c r="H16" s="43"/>
      <c r="I16" s="43"/>
    </row>
    <row r="17" spans="1:19" s="42" customFormat="1" ht="21.95" customHeight="1" x14ac:dyDescent="0.25">
      <c r="A17" s="121" t="s">
        <v>12</v>
      </c>
      <c r="B17" s="362" t="s">
        <v>13</v>
      </c>
      <c r="C17" s="362"/>
      <c r="D17" s="362"/>
      <c r="E17" s="362"/>
      <c r="F17" s="362"/>
      <c r="G17" s="362"/>
      <c r="H17" s="362"/>
      <c r="I17" s="362"/>
    </row>
    <row r="18" spans="1:19" s="42" customFormat="1" ht="21.95" customHeight="1" x14ac:dyDescent="0.25">
      <c r="A18" s="121" t="s">
        <v>4</v>
      </c>
      <c r="B18" s="46" t="s">
        <v>14</v>
      </c>
      <c r="E18" s="43"/>
    </row>
    <row r="19" spans="1:19" s="51" customFormat="1" ht="21.95" customHeight="1" x14ac:dyDescent="0.25">
      <c r="A19" s="123"/>
      <c r="B19" s="47" t="s">
        <v>15</v>
      </c>
      <c r="C19" s="48">
        <v>81</v>
      </c>
      <c r="D19" s="363" t="s">
        <v>16</v>
      </c>
      <c r="E19" s="363"/>
      <c r="F19" s="49" t="s">
        <v>128</v>
      </c>
      <c r="G19" s="50"/>
      <c r="I19" s="50"/>
    </row>
    <row r="20" spans="1:19" s="51" customFormat="1" ht="21.95" customHeight="1" x14ac:dyDescent="0.25">
      <c r="A20" s="123"/>
      <c r="B20" s="47" t="s">
        <v>17</v>
      </c>
      <c r="C20" s="52">
        <v>129.1</v>
      </c>
      <c r="D20" s="50" t="s">
        <v>105</v>
      </c>
      <c r="E20" s="53"/>
      <c r="F20" s="54"/>
      <c r="H20" s="55"/>
      <c r="I20" s="50"/>
    </row>
    <row r="21" spans="1:19" s="51" customFormat="1" ht="21.95" customHeight="1" x14ac:dyDescent="0.25">
      <c r="A21" s="123"/>
      <c r="B21" s="56" t="s">
        <v>18</v>
      </c>
      <c r="C21" s="57"/>
      <c r="D21" s="50"/>
      <c r="E21" s="53"/>
      <c r="F21" s="50"/>
      <c r="H21" s="55"/>
      <c r="I21" s="50"/>
    </row>
    <row r="22" spans="1:19" s="51" customFormat="1" ht="21.95" customHeight="1" x14ac:dyDescent="0.25">
      <c r="A22" s="123"/>
      <c r="B22" s="47" t="s">
        <v>19</v>
      </c>
      <c r="C22" s="52">
        <v>47.8</v>
      </c>
      <c r="D22" s="50" t="s">
        <v>105</v>
      </c>
      <c r="E22" s="53"/>
      <c r="F22" s="50"/>
      <c r="H22" s="55"/>
      <c r="I22" s="50"/>
    </row>
    <row r="23" spans="1:19" s="51" customFormat="1" ht="21.95" customHeight="1" x14ac:dyDescent="0.25">
      <c r="A23" s="123"/>
      <c r="B23" s="47" t="s">
        <v>20</v>
      </c>
      <c r="C23" s="57">
        <f>C20-C22</f>
        <v>81.3</v>
      </c>
      <c r="D23" s="50" t="s">
        <v>105</v>
      </c>
      <c r="E23" s="53"/>
      <c r="F23" s="50"/>
      <c r="H23" s="55"/>
      <c r="I23" s="50"/>
    </row>
    <row r="24" spans="1:19" s="42" customFormat="1" ht="21.95" customHeight="1" x14ac:dyDescent="0.25">
      <c r="A24" s="122"/>
      <c r="B24" s="24" t="s">
        <v>21</v>
      </c>
      <c r="C24" s="362" t="s">
        <v>251</v>
      </c>
      <c r="D24" s="362"/>
      <c r="E24" s="362"/>
      <c r="F24" s="362"/>
      <c r="G24" s="362"/>
      <c r="H24" s="362"/>
      <c r="I24" s="362"/>
    </row>
    <row r="25" spans="1:19" s="36" customFormat="1" ht="211.5" customHeight="1" x14ac:dyDescent="0.25">
      <c r="A25" s="39" t="s">
        <v>9</v>
      </c>
      <c r="B25" s="58" t="s">
        <v>73</v>
      </c>
      <c r="C25" s="366" t="s">
        <v>583</v>
      </c>
      <c r="D25" s="367"/>
      <c r="E25" s="367"/>
      <c r="F25" s="367"/>
      <c r="G25" s="367"/>
      <c r="H25" s="367"/>
      <c r="I25" s="367"/>
      <c r="J25" s="59"/>
      <c r="K25" s="59"/>
      <c r="L25" s="59"/>
      <c r="M25" s="59"/>
      <c r="N25" s="59"/>
      <c r="O25" s="59"/>
      <c r="P25" s="59"/>
      <c r="Q25" s="59"/>
      <c r="R25" s="59"/>
      <c r="S25" s="59"/>
    </row>
    <row r="26" spans="1:19" s="36" customFormat="1" ht="24" customHeight="1" x14ac:dyDescent="0.25">
      <c r="A26" s="39" t="s">
        <v>22</v>
      </c>
      <c r="B26" s="364" t="s">
        <v>82</v>
      </c>
      <c r="C26" s="364"/>
      <c r="D26" s="364"/>
      <c r="E26" s="364"/>
      <c r="F26" s="364"/>
      <c r="G26" s="60"/>
      <c r="H26" s="149">
        <v>0</v>
      </c>
      <c r="I26" s="60" t="s">
        <v>55</v>
      </c>
      <c r="J26" s="59"/>
      <c r="K26" s="59"/>
      <c r="L26" s="59"/>
      <c r="M26" s="59"/>
      <c r="N26" s="59"/>
      <c r="O26" s="59"/>
      <c r="P26" s="59"/>
      <c r="Q26" s="59"/>
      <c r="R26" s="59"/>
      <c r="S26" s="59"/>
    </row>
    <row r="27" spans="1:19" s="36" customFormat="1" ht="23.25" customHeight="1" x14ac:dyDescent="0.25">
      <c r="A27" s="39" t="s">
        <v>23</v>
      </c>
      <c r="B27" s="364" t="s">
        <v>65</v>
      </c>
      <c r="C27" s="364"/>
      <c r="D27" s="364"/>
      <c r="E27" s="364"/>
      <c r="F27" s="364"/>
      <c r="G27" s="364"/>
      <c r="H27" s="148">
        <v>0</v>
      </c>
      <c r="I27" s="60" t="s">
        <v>84</v>
      </c>
      <c r="J27" s="59"/>
      <c r="K27" s="59"/>
      <c r="L27" s="59"/>
      <c r="M27" s="59"/>
      <c r="N27" s="59"/>
      <c r="O27" s="59"/>
      <c r="P27" s="59"/>
      <c r="Q27" s="59"/>
      <c r="R27" s="59"/>
      <c r="S27" s="59"/>
    </row>
    <row r="28" spans="1:19" s="41" customFormat="1" x14ac:dyDescent="0.25">
      <c r="A28" s="39" t="s">
        <v>88</v>
      </c>
      <c r="B28" s="364" t="s">
        <v>87</v>
      </c>
      <c r="C28" s="364"/>
      <c r="D28" s="364"/>
      <c r="E28" s="364"/>
      <c r="F28" s="364"/>
      <c r="G28" s="364"/>
      <c r="H28" s="364"/>
      <c r="I28" s="364"/>
    </row>
    <row r="29" spans="1:19" s="40" customFormat="1" ht="22.5" customHeight="1" x14ac:dyDescent="0.25">
      <c r="A29" s="39" t="s">
        <v>4</v>
      </c>
      <c r="B29" s="360" t="s">
        <v>24</v>
      </c>
      <c r="C29" s="360"/>
      <c r="D29" s="360"/>
      <c r="E29" s="360"/>
      <c r="F29" s="360"/>
      <c r="G29" s="360"/>
      <c r="H29" s="360"/>
      <c r="I29" s="360"/>
      <c r="J29" s="41"/>
      <c r="K29" s="41"/>
      <c r="L29" s="41"/>
      <c r="M29" s="41"/>
      <c r="N29" s="41"/>
      <c r="O29" s="41"/>
      <c r="P29" s="41"/>
      <c r="Q29" s="41"/>
      <c r="R29" s="41"/>
      <c r="S29" s="41"/>
    </row>
    <row r="30" spans="1:19" s="24" customFormat="1" ht="32.25" customHeight="1" x14ac:dyDescent="0.25">
      <c r="A30" s="351" t="s">
        <v>25</v>
      </c>
      <c r="B30" s="353" t="s">
        <v>26</v>
      </c>
      <c r="C30" s="354"/>
      <c r="D30" s="354"/>
      <c r="E30" s="354"/>
      <c r="F30" s="354"/>
      <c r="G30" s="354"/>
      <c r="H30" s="354"/>
      <c r="I30" s="355"/>
    </row>
    <row r="31" spans="1:19" s="25" customFormat="1" ht="49.5" x14ac:dyDescent="0.25">
      <c r="A31" s="352"/>
      <c r="B31" s="353" t="s">
        <v>27</v>
      </c>
      <c r="C31" s="355"/>
      <c r="D31" s="21" t="s">
        <v>28</v>
      </c>
      <c r="E31" s="22" t="s">
        <v>29</v>
      </c>
      <c r="F31" s="22" t="s">
        <v>30</v>
      </c>
      <c r="G31" s="21" t="s">
        <v>31</v>
      </c>
      <c r="H31" s="22" t="s">
        <v>104</v>
      </c>
      <c r="I31" s="22" t="s">
        <v>33</v>
      </c>
    </row>
    <row r="32" spans="1:19" s="62" customFormat="1" ht="18.75" customHeight="1" x14ac:dyDescent="0.25">
      <c r="A32" s="61">
        <v>1</v>
      </c>
      <c r="B32" s="356">
        <v>2</v>
      </c>
      <c r="C32" s="357"/>
      <c r="D32" s="61">
        <v>3</v>
      </c>
      <c r="E32" s="61">
        <v>4</v>
      </c>
      <c r="F32" s="61">
        <v>5</v>
      </c>
      <c r="G32" s="61">
        <v>6</v>
      </c>
      <c r="H32" s="61">
        <v>7</v>
      </c>
      <c r="I32" s="61">
        <v>8</v>
      </c>
    </row>
    <row r="33" spans="1:9" s="68" customFormat="1" ht="39" customHeight="1" x14ac:dyDescent="0.25">
      <c r="A33" s="63">
        <v>1</v>
      </c>
      <c r="B33" s="358" t="s">
        <v>563</v>
      </c>
      <c r="C33" s="359"/>
      <c r="D33" s="64" t="s">
        <v>106</v>
      </c>
      <c r="E33" s="65">
        <f>C22</f>
        <v>47.8</v>
      </c>
      <c r="F33" s="63"/>
      <c r="G33" s="66"/>
      <c r="H33" s="166">
        <f>E33*F33*G33</f>
        <v>0</v>
      </c>
      <c r="I33" s="67"/>
    </row>
    <row r="34" spans="1:9" s="71" customFormat="1" ht="30.75" customHeight="1" x14ac:dyDescent="0.25">
      <c r="A34" s="69"/>
      <c r="B34" s="349" t="s">
        <v>34</v>
      </c>
      <c r="C34" s="350"/>
      <c r="D34" s="69"/>
      <c r="E34" s="69"/>
      <c r="F34" s="69"/>
      <c r="G34" s="69"/>
      <c r="H34" s="169">
        <f>SUM(H33:H33)</f>
        <v>0</v>
      </c>
      <c r="I34" s="69"/>
    </row>
    <row r="35" spans="1:9" ht="6.75" customHeight="1" x14ac:dyDescent="0.25">
      <c r="A35" s="77"/>
      <c r="B35" s="72"/>
      <c r="C35" s="72"/>
      <c r="D35" s="73"/>
      <c r="E35" s="73"/>
      <c r="F35" s="73"/>
      <c r="G35" s="73"/>
      <c r="H35" s="73"/>
      <c r="I35" s="73"/>
    </row>
    <row r="36" spans="1:9" ht="19.5" customHeight="1" x14ac:dyDescent="0.25">
      <c r="A36" s="75" t="s">
        <v>9</v>
      </c>
      <c r="B36" s="360" t="s">
        <v>35</v>
      </c>
      <c r="C36" s="360"/>
      <c r="D36" s="360"/>
      <c r="E36" s="360"/>
      <c r="F36" s="360"/>
      <c r="G36" s="360"/>
      <c r="H36" s="360"/>
      <c r="I36" s="360"/>
    </row>
    <row r="37" spans="1:9" s="23" customFormat="1" ht="49.5" x14ac:dyDescent="0.25">
      <c r="A37" s="29" t="s">
        <v>25</v>
      </c>
      <c r="B37" s="353" t="s">
        <v>27</v>
      </c>
      <c r="C37" s="355"/>
      <c r="D37" s="21" t="s">
        <v>28</v>
      </c>
      <c r="E37" s="22" t="s">
        <v>29</v>
      </c>
      <c r="F37" s="22" t="s">
        <v>30</v>
      </c>
      <c r="G37" s="21" t="s">
        <v>31</v>
      </c>
      <c r="H37" s="22" t="s">
        <v>32</v>
      </c>
      <c r="I37" s="22" t="s">
        <v>33</v>
      </c>
    </row>
    <row r="38" spans="1:9" s="62" customFormat="1" ht="18" customHeight="1" x14ac:dyDescent="0.25">
      <c r="A38" s="61">
        <v>1</v>
      </c>
      <c r="B38" s="356">
        <v>2</v>
      </c>
      <c r="C38" s="357"/>
      <c r="D38" s="61">
        <v>3</v>
      </c>
      <c r="E38" s="61">
        <v>4</v>
      </c>
      <c r="F38" s="61">
        <v>5</v>
      </c>
      <c r="G38" s="61">
        <v>6</v>
      </c>
      <c r="H38" s="61">
        <v>7</v>
      </c>
      <c r="I38" s="61">
        <v>8</v>
      </c>
    </row>
    <row r="39" spans="1:9" ht="37.5" customHeight="1" x14ac:dyDescent="0.25">
      <c r="A39" s="26">
        <v>1</v>
      </c>
      <c r="B39" s="353"/>
      <c r="C39" s="355"/>
      <c r="D39" s="27"/>
      <c r="E39" s="22"/>
      <c r="F39" s="27"/>
      <c r="G39" s="27"/>
      <c r="H39" s="27"/>
      <c r="I39" s="26" t="s">
        <v>36</v>
      </c>
    </row>
    <row r="40" spans="1:9" s="71" customFormat="1" ht="25.5" customHeight="1" x14ac:dyDescent="0.25">
      <c r="A40" s="69"/>
      <c r="B40" s="349" t="s">
        <v>34</v>
      </c>
      <c r="C40" s="350"/>
      <c r="D40" s="74"/>
      <c r="E40" s="69"/>
      <c r="F40" s="74"/>
      <c r="G40" s="74"/>
      <c r="H40" s="74"/>
      <c r="I40" s="69"/>
    </row>
    <row r="41" spans="1:9" x14ac:dyDescent="0.25">
      <c r="A41" s="124"/>
      <c r="B41" s="75"/>
      <c r="C41" s="75"/>
      <c r="D41" s="76"/>
      <c r="E41" s="75"/>
      <c r="F41" s="76"/>
      <c r="G41" s="76"/>
      <c r="H41" s="76"/>
      <c r="I41" s="75"/>
    </row>
    <row r="42" spans="1:9" x14ac:dyDescent="0.25">
      <c r="A42" s="324"/>
      <c r="B42" s="327" t="s">
        <v>37</v>
      </c>
      <c r="C42" s="328"/>
      <c r="D42" s="328"/>
      <c r="E42" s="328"/>
      <c r="F42" s="328"/>
      <c r="G42" s="329"/>
      <c r="H42" s="27"/>
      <c r="I42" s="26" t="s">
        <v>74</v>
      </c>
    </row>
    <row r="43" spans="1:9" x14ac:dyDescent="0.25">
      <c r="A43" s="325"/>
      <c r="B43" s="330" t="s">
        <v>38</v>
      </c>
      <c r="C43" s="331"/>
      <c r="D43" s="331"/>
      <c r="E43" s="331"/>
      <c r="F43" s="331"/>
      <c r="G43" s="332"/>
      <c r="H43" s="27"/>
      <c r="I43" s="26" t="s">
        <v>74</v>
      </c>
    </row>
    <row r="44" spans="1:9" x14ac:dyDescent="0.25">
      <c r="A44" s="326"/>
      <c r="B44" s="333" t="s">
        <v>39</v>
      </c>
      <c r="C44" s="334"/>
      <c r="D44" s="334"/>
      <c r="E44" s="334"/>
      <c r="F44" s="334"/>
      <c r="G44" s="335"/>
      <c r="H44" s="27"/>
      <c r="I44" s="26" t="s">
        <v>74</v>
      </c>
    </row>
    <row r="45" spans="1:9" ht="7.5" customHeight="1" x14ac:dyDescent="0.25">
      <c r="A45" s="77"/>
      <c r="B45" s="72"/>
      <c r="C45" s="72"/>
      <c r="D45" s="72"/>
      <c r="E45" s="78"/>
      <c r="F45" s="72"/>
      <c r="G45" s="72"/>
      <c r="H45" s="79"/>
      <c r="I45" s="79"/>
    </row>
    <row r="46" spans="1:9" ht="26.25" customHeight="1" x14ac:dyDescent="0.25">
      <c r="A46" s="125" t="s">
        <v>22</v>
      </c>
      <c r="B46" s="336" t="s">
        <v>40</v>
      </c>
      <c r="C46" s="336"/>
      <c r="D46" s="336"/>
      <c r="E46" s="336"/>
      <c r="F46" s="336"/>
      <c r="G46" s="336"/>
      <c r="H46" s="80"/>
      <c r="I46" s="81"/>
    </row>
    <row r="47" spans="1:9" s="30" customFormat="1" ht="49.5" x14ac:dyDescent="0.25">
      <c r="A47" s="21" t="s">
        <v>25</v>
      </c>
      <c r="B47" s="21" t="s">
        <v>41</v>
      </c>
      <c r="C47" s="21" t="s">
        <v>28</v>
      </c>
      <c r="D47" s="21" t="s">
        <v>42</v>
      </c>
      <c r="E47" s="21" t="s">
        <v>43</v>
      </c>
      <c r="F47" s="22" t="s">
        <v>30</v>
      </c>
      <c r="G47" s="21" t="s">
        <v>31</v>
      </c>
      <c r="H47" s="21" t="s">
        <v>45</v>
      </c>
      <c r="I47" s="21" t="s">
        <v>33</v>
      </c>
    </row>
    <row r="48" spans="1:9" s="83" customFormat="1" ht="18" customHeight="1" x14ac:dyDescent="0.25">
      <c r="A48" s="82">
        <v>1</v>
      </c>
      <c r="B48" s="82">
        <v>2</v>
      </c>
      <c r="C48" s="82">
        <v>3</v>
      </c>
      <c r="D48" s="82">
        <v>4</v>
      </c>
      <c r="E48" s="82">
        <v>5</v>
      </c>
      <c r="F48" s="82">
        <v>6</v>
      </c>
      <c r="G48" s="82">
        <v>7</v>
      </c>
      <c r="H48" s="82">
        <v>8</v>
      </c>
      <c r="I48" s="82">
        <v>9</v>
      </c>
    </row>
    <row r="49" spans="1:12" s="89" customFormat="1" ht="30" customHeight="1" x14ac:dyDescent="0.25">
      <c r="A49" s="21" t="s">
        <v>46</v>
      </c>
      <c r="B49" s="84" t="s">
        <v>47</v>
      </c>
      <c r="C49" s="85"/>
      <c r="D49" s="85"/>
      <c r="E49" s="86"/>
      <c r="F49" s="85"/>
      <c r="G49" s="85"/>
      <c r="H49" s="157">
        <f>SUM(H50:H54)</f>
        <v>0</v>
      </c>
      <c r="I49" s="88"/>
    </row>
    <row r="50" spans="1:12" s="89" customFormat="1" ht="24.95" customHeight="1" x14ac:dyDescent="0.25">
      <c r="A50" s="90">
        <v>1</v>
      </c>
      <c r="B50" s="132" t="s">
        <v>90</v>
      </c>
      <c r="C50" s="64" t="s">
        <v>106</v>
      </c>
      <c r="D50" s="96" t="s">
        <v>344</v>
      </c>
      <c r="E50" s="130">
        <f>4.43*8.8</f>
        <v>38.984000000000002</v>
      </c>
      <c r="F50" s="93"/>
      <c r="G50" s="93"/>
      <c r="H50" s="94"/>
      <c r="I50" s="324" t="s">
        <v>110</v>
      </c>
    </row>
    <row r="51" spans="1:12" s="89" customFormat="1" ht="24.95" customHeight="1" x14ac:dyDescent="0.25">
      <c r="A51" s="90">
        <v>2</v>
      </c>
      <c r="B51" s="132" t="s">
        <v>291</v>
      </c>
      <c r="C51" s="64" t="s">
        <v>106</v>
      </c>
      <c r="D51" s="96" t="s">
        <v>345</v>
      </c>
      <c r="E51" s="238">
        <f>4.43*3.1</f>
        <v>13.732999999999999</v>
      </c>
      <c r="F51" s="93"/>
      <c r="G51" s="93"/>
      <c r="H51" s="94"/>
      <c r="I51" s="325"/>
    </row>
    <row r="52" spans="1:12" s="89" customFormat="1" ht="84.75" customHeight="1" x14ac:dyDescent="0.25">
      <c r="A52" s="90">
        <v>3</v>
      </c>
      <c r="B52" s="132" t="s">
        <v>424</v>
      </c>
      <c r="C52" s="64" t="s">
        <v>106</v>
      </c>
      <c r="D52" s="96" t="s">
        <v>346</v>
      </c>
      <c r="E52" s="130">
        <f>4.43*11.2</f>
        <v>49.615999999999993</v>
      </c>
      <c r="F52" s="93"/>
      <c r="G52" s="93"/>
      <c r="H52" s="94"/>
      <c r="I52" s="325"/>
    </row>
    <row r="53" spans="1:12" s="89" customFormat="1" ht="38.25" customHeight="1" x14ac:dyDescent="0.25">
      <c r="A53" s="90"/>
      <c r="B53" s="132" t="s">
        <v>109</v>
      </c>
      <c r="C53" s="64" t="s">
        <v>106</v>
      </c>
      <c r="D53" s="96" t="s">
        <v>156</v>
      </c>
      <c r="E53" s="130">
        <f>C22</f>
        <v>47.8</v>
      </c>
      <c r="F53" s="93"/>
      <c r="G53" s="93"/>
      <c r="H53" s="94"/>
      <c r="I53" s="325"/>
    </row>
    <row r="54" spans="1:12" s="89" customFormat="1" ht="34.5" customHeight="1" x14ac:dyDescent="0.25">
      <c r="A54" s="90"/>
      <c r="B54" s="132" t="s">
        <v>120</v>
      </c>
      <c r="C54" s="64" t="s">
        <v>106</v>
      </c>
      <c r="D54" s="96"/>
      <c r="E54" s="234">
        <f>E52-E53</f>
        <v>1.8159999999999954</v>
      </c>
      <c r="F54" s="93"/>
      <c r="G54" s="93"/>
      <c r="H54" s="94"/>
      <c r="I54" s="325"/>
    </row>
    <row r="55" spans="1:12" s="89" customFormat="1" ht="27" customHeight="1" x14ac:dyDescent="0.25">
      <c r="A55" s="90" t="s">
        <v>131</v>
      </c>
      <c r="B55" s="132" t="s">
        <v>134</v>
      </c>
      <c r="C55" s="64" t="s">
        <v>106</v>
      </c>
      <c r="D55" s="96" t="s">
        <v>145</v>
      </c>
      <c r="E55" s="130">
        <f>E52</f>
        <v>49.615999999999993</v>
      </c>
      <c r="F55" s="93"/>
      <c r="G55" s="93"/>
      <c r="H55" s="94"/>
      <c r="I55" s="325"/>
    </row>
    <row r="56" spans="1:12" s="89" customFormat="1" ht="30.75" customHeight="1" x14ac:dyDescent="0.25">
      <c r="A56" s="21" t="s">
        <v>48</v>
      </c>
      <c r="B56" s="84" t="s">
        <v>49</v>
      </c>
      <c r="C56" s="85"/>
      <c r="D56" s="85"/>
      <c r="E56" s="92"/>
      <c r="F56" s="85"/>
      <c r="G56" s="85"/>
      <c r="H56" s="157">
        <f>SUM(H57:H57)</f>
        <v>0</v>
      </c>
      <c r="I56" s="326"/>
    </row>
    <row r="57" spans="1:12" s="89" customFormat="1" ht="21.75" customHeight="1" x14ac:dyDescent="0.25">
      <c r="A57" s="90">
        <v>1</v>
      </c>
      <c r="B57" s="91"/>
      <c r="C57" s="93"/>
      <c r="D57" s="90"/>
      <c r="E57" s="92"/>
      <c r="F57" s="97"/>
      <c r="G57" s="98"/>
      <c r="H57" s="184"/>
      <c r="I57" s="99"/>
    </row>
    <row r="58" spans="1:12" s="102" customFormat="1" ht="31.5" customHeight="1" x14ac:dyDescent="0.25">
      <c r="A58" s="126"/>
      <c r="B58" s="100" t="s">
        <v>50</v>
      </c>
      <c r="C58" s="100"/>
      <c r="D58" s="100"/>
      <c r="E58" s="100"/>
      <c r="F58" s="100"/>
      <c r="G58" s="100"/>
      <c r="H58" s="158">
        <f>H49+H56</f>
        <v>0</v>
      </c>
      <c r="I58" s="101"/>
    </row>
    <row r="59" spans="1:12" ht="22.5" customHeight="1" x14ac:dyDescent="0.25">
      <c r="A59" s="127">
        <v>4</v>
      </c>
      <c r="B59" s="337" t="s">
        <v>51</v>
      </c>
      <c r="C59" s="337"/>
      <c r="D59" s="337"/>
      <c r="E59" s="337"/>
      <c r="F59" s="337"/>
      <c r="G59" s="337"/>
      <c r="H59" s="51"/>
      <c r="I59" s="51"/>
    </row>
    <row r="60" spans="1:12" s="104" customFormat="1" ht="49.5" x14ac:dyDescent="0.25">
      <c r="A60" s="103" t="s">
        <v>25</v>
      </c>
      <c r="B60" s="338" t="s">
        <v>52</v>
      </c>
      <c r="C60" s="339"/>
      <c r="D60" s="21" t="s">
        <v>29</v>
      </c>
      <c r="E60" s="21" t="s">
        <v>53</v>
      </c>
      <c r="F60" s="21" t="s">
        <v>44</v>
      </c>
      <c r="G60" s="21" t="s">
        <v>54</v>
      </c>
      <c r="H60" s="21" t="s">
        <v>45</v>
      </c>
      <c r="I60" s="21" t="s">
        <v>33</v>
      </c>
    </row>
    <row r="61" spans="1:12" ht="24" customHeight="1" x14ac:dyDescent="0.25">
      <c r="A61" s="105"/>
      <c r="B61" s="340"/>
      <c r="C61" s="341"/>
      <c r="D61" s="106"/>
      <c r="E61" s="105"/>
      <c r="F61" s="107"/>
      <c r="G61" s="108"/>
      <c r="H61" s="176"/>
      <c r="I61" s="109"/>
      <c r="L61" s="110"/>
    </row>
    <row r="62" spans="1:12" s="112" customFormat="1" ht="27.75" customHeight="1" x14ac:dyDescent="0.25">
      <c r="A62" s="126"/>
      <c r="B62" s="342" t="s">
        <v>34</v>
      </c>
      <c r="C62" s="343"/>
      <c r="D62" s="100"/>
      <c r="E62" s="100"/>
      <c r="F62" s="100"/>
      <c r="G62" s="100"/>
      <c r="H62" s="163">
        <f>SUM(H61)</f>
        <v>0</v>
      </c>
      <c r="I62" s="111"/>
      <c r="L62" s="113"/>
    </row>
    <row r="63" spans="1:12" s="115" customFormat="1" ht="27.75" customHeight="1" x14ac:dyDescent="0.25">
      <c r="A63" s="128">
        <v>5</v>
      </c>
      <c r="B63" s="344" t="s">
        <v>56</v>
      </c>
      <c r="C63" s="344"/>
      <c r="D63" s="344"/>
      <c r="E63" s="344"/>
      <c r="F63" s="344"/>
      <c r="G63" s="345"/>
      <c r="H63" s="164">
        <f>H62+H58+H40+H34</f>
        <v>0</v>
      </c>
      <c r="I63" s="114" t="s">
        <v>57</v>
      </c>
    </row>
    <row r="64" spans="1:12" s="117" customFormat="1" ht="17.25" x14ac:dyDescent="0.25">
      <c r="A64" s="129"/>
      <c r="B64" s="116" t="s">
        <v>78</v>
      </c>
      <c r="C64" s="346" t="s">
        <v>91</v>
      </c>
      <c r="D64" s="346"/>
      <c r="E64" s="346"/>
      <c r="F64" s="346"/>
      <c r="G64" s="346"/>
      <c r="H64" s="346"/>
      <c r="I64" s="346"/>
    </row>
    <row r="65" spans="1:9" s="41" customFormat="1" ht="17.25" hidden="1" x14ac:dyDescent="0.3">
      <c r="A65" s="39"/>
      <c r="B65" s="118"/>
      <c r="E65" s="119"/>
      <c r="F65" s="316" t="s">
        <v>75</v>
      </c>
      <c r="G65" s="316"/>
      <c r="H65" s="316"/>
      <c r="I65" s="316"/>
    </row>
    <row r="66" spans="1:9" hidden="1" x14ac:dyDescent="0.25">
      <c r="F66" s="316" t="s">
        <v>76</v>
      </c>
      <c r="G66" s="316"/>
      <c r="H66" s="316"/>
      <c r="I66" s="316"/>
    </row>
    <row r="67" spans="1:9" hidden="1" x14ac:dyDescent="0.25">
      <c r="F67" s="317"/>
      <c r="G67" s="317"/>
      <c r="H67" s="317"/>
      <c r="I67" s="317"/>
    </row>
    <row r="68" spans="1:9" hidden="1" x14ac:dyDescent="0.25"/>
    <row r="69" spans="1:9" hidden="1" x14ac:dyDescent="0.25"/>
    <row r="70" spans="1:9" hidden="1" x14ac:dyDescent="0.25"/>
    <row r="71" spans="1:9" hidden="1" x14ac:dyDescent="0.25"/>
    <row r="72" spans="1:9" hidden="1" x14ac:dyDescent="0.25"/>
    <row r="73" spans="1:9" hidden="1" x14ac:dyDescent="0.25">
      <c r="F73" s="318" t="s">
        <v>77</v>
      </c>
      <c r="G73" s="318"/>
      <c r="H73" s="318"/>
      <c r="I73" s="318"/>
    </row>
    <row r="74" spans="1:9" ht="57.75" customHeight="1" x14ac:dyDescent="0.25">
      <c r="A74" s="319" t="s">
        <v>100</v>
      </c>
      <c r="B74" s="319"/>
      <c r="C74" s="319"/>
      <c r="D74" s="319"/>
      <c r="E74" s="319"/>
      <c r="F74" s="319"/>
      <c r="G74" s="319"/>
      <c r="H74" s="319"/>
      <c r="I74" s="319"/>
    </row>
    <row r="75" spans="1:9" x14ac:dyDescent="0.25">
      <c r="A75" s="315" t="s">
        <v>102</v>
      </c>
      <c r="B75" s="315"/>
      <c r="C75" s="315"/>
      <c r="D75" s="315"/>
      <c r="E75" s="315"/>
      <c r="F75" s="315"/>
      <c r="G75" s="315"/>
      <c r="H75" s="315"/>
      <c r="I75" s="315"/>
    </row>
    <row r="76" spans="1:9" x14ac:dyDescent="0.25">
      <c r="A76" s="320" t="s">
        <v>107</v>
      </c>
      <c r="B76" s="320"/>
      <c r="C76" s="320"/>
      <c r="D76" s="321"/>
      <c r="E76" s="322" t="s">
        <v>108</v>
      </c>
      <c r="F76" s="323"/>
      <c r="G76" s="323"/>
      <c r="H76" s="323"/>
      <c r="I76" s="323"/>
    </row>
    <row r="77" spans="1:9" x14ac:dyDescent="0.25">
      <c r="A77" s="320"/>
      <c r="B77" s="320"/>
      <c r="C77" s="320"/>
      <c r="D77" s="321"/>
      <c r="E77" s="322"/>
      <c r="F77" s="323"/>
      <c r="G77" s="323"/>
      <c r="H77" s="323"/>
      <c r="I77" s="323"/>
    </row>
    <row r="78" spans="1:9" x14ac:dyDescent="0.25">
      <c r="A78" s="320"/>
      <c r="B78" s="320"/>
      <c r="C78" s="320"/>
      <c r="D78" s="321"/>
      <c r="E78" s="38"/>
      <c r="I78" s="20"/>
    </row>
    <row r="79" spans="1:9" x14ac:dyDescent="0.25">
      <c r="A79" s="315" t="s">
        <v>101</v>
      </c>
      <c r="B79" s="315"/>
      <c r="C79" s="315"/>
      <c r="D79" s="315"/>
      <c r="E79" s="315"/>
      <c r="F79" s="315"/>
      <c r="G79" s="315"/>
      <c r="H79" s="315"/>
      <c r="I79" s="315"/>
    </row>
  </sheetData>
  <mergeCells count="59">
    <mergeCell ref="A74:I74"/>
    <mergeCell ref="A75:I75"/>
    <mergeCell ref="A76:D78"/>
    <mergeCell ref="E76:I77"/>
    <mergeCell ref="A79:I79"/>
    <mergeCell ref="F73:I73"/>
    <mergeCell ref="B46:G46"/>
    <mergeCell ref="B59:G59"/>
    <mergeCell ref="B60:C60"/>
    <mergeCell ref="B61:C61"/>
    <mergeCell ref="B62:C62"/>
    <mergeCell ref="B63:G63"/>
    <mergeCell ref="C64:I64"/>
    <mergeCell ref="F65:I65"/>
    <mergeCell ref="F66:I66"/>
    <mergeCell ref="F67:I67"/>
    <mergeCell ref="I50:I56"/>
    <mergeCell ref="B39:C39"/>
    <mergeCell ref="B40:C40"/>
    <mergeCell ref="A42:A44"/>
    <mergeCell ref="B42:G42"/>
    <mergeCell ref="B43:G43"/>
    <mergeCell ref="B44:G44"/>
    <mergeCell ref="B38:C38"/>
    <mergeCell ref="B27:G27"/>
    <mergeCell ref="B28:I28"/>
    <mergeCell ref="B29:I29"/>
    <mergeCell ref="A30:A31"/>
    <mergeCell ref="B30:I30"/>
    <mergeCell ref="B31:C31"/>
    <mergeCell ref="B32:C32"/>
    <mergeCell ref="B33:C33"/>
    <mergeCell ref="B34:C34"/>
    <mergeCell ref="B36:I36"/>
    <mergeCell ref="B37:C37"/>
    <mergeCell ref="B26:F26"/>
    <mergeCell ref="C10:I10"/>
    <mergeCell ref="C11:I11"/>
    <mergeCell ref="C12:E12"/>
    <mergeCell ref="F13:I13"/>
    <mergeCell ref="C14:I14"/>
    <mergeCell ref="C15:I15"/>
    <mergeCell ref="C16:E16"/>
    <mergeCell ref="B17:I17"/>
    <mergeCell ref="D19:E19"/>
    <mergeCell ref="C24:I24"/>
    <mergeCell ref="C25:I25"/>
    <mergeCell ref="A5:I5"/>
    <mergeCell ref="A6:I6"/>
    <mergeCell ref="A7:I7"/>
    <mergeCell ref="B8:I8"/>
    <mergeCell ref="B9:E9"/>
    <mergeCell ref="F9:I9"/>
    <mergeCell ref="A1:D1"/>
    <mergeCell ref="E1:I1"/>
    <mergeCell ref="A2:D2"/>
    <mergeCell ref="E2:I2"/>
    <mergeCell ref="A4:D4"/>
    <mergeCell ref="E4:I4"/>
  </mergeCells>
  <pageMargins left="0.19685039370078741" right="0.15748031496062992" top="0.35433070866141736" bottom="0.35433070866141736" header="0.19685039370078741" footer="0.15748031496062992"/>
  <pageSetup paperSize="9" scale="80" orientation="portrait" r:id="rId1"/>
  <drawing r:id="rId2"/>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82"/>
  <sheetViews>
    <sheetView topLeftCell="A29" workbookViewId="0">
      <selection activeCell="B39" sqref="B39:C39"/>
    </sheetView>
  </sheetViews>
  <sheetFormatPr defaultColWidth="9.140625" defaultRowHeight="16.5" x14ac:dyDescent="0.25"/>
  <cols>
    <col min="1" max="1" width="4.42578125" style="68" customWidth="1"/>
    <col min="2" max="2" width="28.140625" style="20" customWidth="1"/>
    <col min="3" max="3" width="9.140625" style="20" customWidth="1"/>
    <col min="4" max="4" width="23.28515625" style="20" customWidth="1"/>
    <col min="5" max="5" width="9.28515625" style="23" customWidth="1"/>
    <col min="6" max="6" width="12" style="20" customWidth="1"/>
    <col min="7" max="7" width="9.42578125" style="20" customWidth="1"/>
    <col min="8" max="8" width="13.140625" style="20" customWidth="1"/>
    <col min="9" max="9" width="16.140625" style="120" customWidth="1"/>
    <col min="10" max="10" width="12.28515625" style="20" customWidth="1"/>
    <col min="11" max="11" width="9.140625" style="20" customWidth="1"/>
    <col min="12" max="12" width="11.42578125" style="20" customWidth="1"/>
    <col min="13" max="19" width="9.140625" style="20" customWidth="1"/>
    <col min="20" max="16384" width="9.140625" style="20"/>
  </cols>
  <sheetData>
    <row r="1" spans="1:17" s="36" customFormat="1" x14ac:dyDescent="0.25">
      <c r="A1" s="368" t="s">
        <v>98</v>
      </c>
      <c r="B1" s="368"/>
      <c r="C1" s="368"/>
      <c r="D1" s="368"/>
      <c r="E1" s="368" t="s">
        <v>0</v>
      </c>
      <c r="F1" s="368"/>
      <c r="G1" s="368"/>
      <c r="H1" s="368"/>
      <c r="I1" s="368"/>
    </row>
    <row r="2" spans="1:17" s="36" customFormat="1" x14ac:dyDescent="0.25">
      <c r="A2" s="369" t="s">
        <v>99</v>
      </c>
      <c r="B2" s="369"/>
      <c r="C2" s="369"/>
      <c r="D2" s="369"/>
      <c r="E2" s="369" t="s">
        <v>1</v>
      </c>
      <c r="F2" s="368"/>
      <c r="G2" s="368"/>
      <c r="H2" s="368"/>
      <c r="I2" s="368"/>
    </row>
    <row r="3" spans="1:17" s="36" customFormat="1" ht="15.75" customHeight="1" x14ac:dyDescent="0.25">
      <c r="A3" s="39"/>
      <c r="C3" s="39"/>
      <c r="D3" s="39"/>
      <c r="E3" s="39"/>
      <c r="F3" s="39"/>
      <c r="G3" s="39"/>
      <c r="H3" s="39"/>
      <c r="I3" s="37"/>
    </row>
    <row r="4" spans="1:17" s="36" customFormat="1" x14ac:dyDescent="0.25">
      <c r="A4" s="369" t="s">
        <v>89</v>
      </c>
      <c r="B4" s="369"/>
      <c r="C4" s="369"/>
      <c r="D4" s="369"/>
      <c r="E4" s="370" t="s">
        <v>185</v>
      </c>
      <c r="F4" s="370"/>
      <c r="G4" s="370"/>
      <c r="H4" s="370"/>
      <c r="I4" s="370"/>
    </row>
    <row r="5" spans="1:17" s="40" customFormat="1" ht="18.75" customHeight="1" x14ac:dyDescent="0.25">
      <c r="A5" s="371" t="s">
        <v>85</v>
      </c>
      <c r="B5" s="371"/>
      <c r="C5" s="371"/>
      <c r="D5" s="371"/>
      <c r="E5" s="371"/>
      <c r="F5" s="371"/>
      <c r="G5" s="371"/>
      <c r="H5" s="371"/>
      <c r="I5" s="371"/>
    </row>
    <row r="6" spans="1:17" s="40" customFormat="1" ht="37.5" customHeight="1" x14ac:dyDescent="0.25">
      <c r="A6" s="372" t="s">
        <v>86</v>
      </c>
      <c r="B6" s="372"/>
      <c r="C6" s="372"/>
      <c r="D6" s="372"/>
      <c r="E6" s="372"/>
      <c r="F6" s="372"/>
      <c r="G6" s="372"/>
      <c r="H6" s="372"/>
      <c r="I6" s="372"/>
      <c r="Q6" s="41"/>
    </row>
    <row r="7" spans="1:17" s="40" customFormat="1" ht="33.6" customHeight="1" x14ac:dyDescent="0.25">
      <c r="A7" s="373" t="s">
        <v>166</v>
      </c>
      <c r="B7" s="373"/>
      <c r="C7" s="373"/>
      <c r="D7" s="373"/>
      <c r="E7" s="373"/>
      <c r="F7" s="373"/>
      <c r="G7" s="373"/>
      <c r="H7" s="373"/>
      <c r="I7" s="373"/>
    </row>
    <row r="8" spans="1:17" s="42" customFormat="1" ht="21.95" customHeight="1" x14ac:dyDescent="0.25">
      <c r="A8" s="121" t="s">
        <v>2</v>
      </c>
      <c r="B8" s="362" t="s">
        <v>3</v>
      </c>
      <c r="C8" s="362"/>
      <c r="D8" s="362"/>
      <c r="E8" s="362"/>
      <c r="F8" s="362"/>
      <c r="G8" s="362"/>
      <c r="H8" s="362"/>
      <c r="I8" s="362"/>
    </row>
    <row r="9" spans="1:17" s="42" customFormat="1" ht="21.95" customHeight="1" x14ac:dyDescent="0.25">
      <c r="A9" s="121" t="s">
        <v>4</v>
      </c>
      <c r="B9" s="374" t="s">
        <v>5</v>
      </c>
      <c r="C9" s="374"/>
      <c r="D9" s="374"/>
      <c r="E9" s="374"/>
      <c r="F9" s="375" t="s">
        <v>347</v>
      </c>
      <c r="G9" s="375"/>
      <c r="H9" s="375"/>
      <c r="I9" s="375"/>
    </row>
    <row r="10" spans="1:17" s="42" customFormat="1" ht="21.95" customHeight="1" x14ac:dyDescent="0.25">
      <c r="A10" s="122"/>
      <c r="B10" s="24" t="s">
        <v>6</v>
      </c>
      <c r="C10" s="365" t="s">
        <v>348</v>
      </c>
      <c r="D10" s="365"/>
      <c r="E10" s="365"/>
      <c r="F10" s="365"/>
      <c r="G10" s="365"/>
      <c r="H10" s="365"/>
      <c r="I10" s="365"/>
    </row>
    <row r="11" spans="1:17" s="42" customFormat="1" ht="21.95" customHeight="1" x14ac:dyDescent="0.25">
      <c r="A11" s="122"/>
      <c r="B11" s="24" t="s">
        <v>7</v>
      </c>
      <c r="C11" s="365" t="s">
        <v>348</v>
      </c>
      <c r="D11" s="365"/>
      <c r="E11" s="365"/>
      <c r="F11" s="365"/>
      <c r="G11" s="365"/>
      <c r="H11" s="365"/>
      <c r="I11" s="365"/>
    </row>
    <row r="12" spans="1:17" s="42" customFormat="1" ht="21.95" customHeight="1" x14ac:dyDescent="0.25">
      <c r="A12" s="122"/>
      <c r="B12" s="24" t="s">
        <v>11</v>
      </c>
      <c r="C12" s="361" t="s">
        <v>349</v>
      </c>
      <c r="D12" s="361"/>
      <c r="E12" s="361"/>
      <c r="F12" s="43"/>
      <c r="G12" s="43"/>
      <c r="H12" s="43"/>
      <c r="I12" s="43"/>
    </row>
    <row r="13" spans="1:17" s="42" customFormat="1" ht="21.95" customHeight="1" x14ac:dyDescent="0.25">
      <c r="A13" s="121" t="s">
        <v>9</v>
      </c>
      <c r="B13" s="44" t="s">
        <v>10</v>
      </c>
      <c r="E13" s="43"/>
      <c r="F13" s="362" t="str">
        <f>F9</f>
        <v>Lưu Công Sơn - Nguyễn Thị Khanh</v>
      </c>
      <c r="G13" s="362"/>
      <c r="H13" s="362"/>
      <c r="I13" s="362"/>
      <c r="J13" s="45"/>
    </row>
    <row r="14" spans="1:17" s="42" customFormat="1" ht="21.95" customHeight="1" x14ac:dyDescent="0.25">
      <c r="A14" s="122"/>
      <c r="B14" s="24" t="s">
        <v>6</v>
      </c>
      <c r="C14" s="365" t="str">
        <f>+C10</f>
        <v>Thôn Xóm Đông - xã Phú Nghĩa- TP Hà Nội</v>
      </c>
      <c r="D14" s="365"/>
      <c r="E14" s="365"/>
      <c r="F14" s="365"/>
      <c r="G14" s="365"/>
      <c r="H14" s="365"/>
      <c r="I14" s="365"/>
    </row>
    <row r="15" spans="1:17" s="42" customFormat="1" ht="21.95" customHeight="1" x14ac:dyDescent="0.25">
      <c r="A15" s="122"/>
      <c r="B15" s="24" t="s">
        <v>7</v>
      </c>
      <c r="C15" s="365" t="str">
        <f>C11</f>
        <v>Thôn Xóm Đông - xã Phú Nghĩa- TP Hà Nội</v>
      </c>
      <c r="D15" s="365"/>
      <c r="E15" s="365"/>
      <c r="F15" s="365"/>
      <c r="G15" s="365"/>
      <c r="H15" s="365"/>
      <c r="I15" s="365"/>
    </row>
    <row r="16" spans="1:17" s="42" customFormat="1" ht="21.95" customHeight="1" x14ac:dyDescent="0.25">
      <c r="A16" s="122"/>
      <c r="B16" s="24" t="s">
        <v>11</v>
      </c>
      <c r="C16" s="361" t="str">
        <f>+C12</f>
        <v>001142006315</v>
      </c>
      <c r="D16" s="361"/>
      <c r="E16" s="361"/>
      <c r="F16" s="43"/>
      <c r="G16" s="43"/>
      <c r="H16" s="43"/>
      <c r="I16" s="43"/>
    </row>
    <row r="17" spans="1:19" s="42" customFormat="1" ht="21.95" customHeight="1" x14ac:dyDescent="0.25">
      <c r="A17" s="121" t="s">
        <v>12</v>
      </c>
      <c r="B17" s="362" t="s">
        <v>13</v>
      </c>
      <c r="C17" s="362"/>
      <c r="D17" s="362"/>
      <c r="E17" s="362"/>
      <c r="F17" s="362"/>
      <c r="G17" s="362"/>
      <c r="H17" s="362"/>
      <c r="I17" s="362"/>
    </row>
    <row r="18" spans="1:19" s="42" customFormat="1" ht="21.95" customHeight="1" x14ac:dyDescent="0.25">
      <c r="A18" s="121" t="s">
        <v>4</v>
      </c>
      <c r="B18" s="46" t="s">
        <v>14</v>
      </c>
      <c r="E18" s="43"/>
    </row>
    <row r="19" spans="1:19" s="51" customFormat="1" ht="21.95" customHeight="1" x14ac:dyDescent="0.25">
      <c r="A19" s="123"/>
      <c r="B19" s="47" t="s">
        <v>15</v>
      </c>
      <c r="C19" s="48">
        <v>59</v>
      </c>
      <c r="D19" s="363" t="s">
        <v>16</v>
      </c>
      <c r="E19" s="363"/>
      <c r="F19" s="49" t="s">
        <v>128</v>
      </c>
      <c r="G19" s="50"/>
      <c r="I19" s="50"/>
    </row>
    <row r="20" spans="1:19" s="51" customFormat="1" ht="21.95" customHeight="1" x14ac:dyDescent="0.25">
      <c r="A20" s="123"/>
      <c r="B20" s="47" t="s">
        <v>17</v>
      </c>
      <c r="C20" s="52">
        <v>161.19999999999999</v>
      </c>
      <c r="D20" s="50" t="s">
        <v>105</v>
      </c>
      <c r="E20" s="53"/>
      <c r="F20" s="54"/>
      <c r="H20" s="55"/>
      <c r="I20" s="50"/>
    </row>
    <row r="21" spans="1:19" s="51" customFormat="1" ht="21.95" customHeight="1" x14ac:dyDescent="0.25">
      <c r="A21" s="123"/>
      <c r="B21" s="56" t="s">
        <v>18</v>
      </c>
      <c r="C21" s="57"/>
      <c r="D21" s="50"/>
      <c r="E21" s="53"/>
      <c r="F21" s="50"/>
      <c r="H21" s="55"/>
      <c r="I21" s="50"/>
    </row>
    <row r="22" spans="1:19" s="51" customFormat="1" ht="21.95" customHeight="1" x14ac:dyDescent="0.25">
      <c r="A22" s="123"/>
      <c r="B22" s="47" t="s">
        <v>19</v>
      </c>
      <c r="C22" s="52">
        <v>72.2</v>
      </c>
      <c r="D22" s="50" t="s">
        <v>105</v>
      </c>
      <c r="E22" s="53"/>
      <c r="F22" s="50"/>
      <c r="H22" s="55"/>
      <c r="I22" s="50"/>
    </row>
    <row r="23" spans="1:19" s="51" customFormat="1" ht="21.95" customHeight="1" x14ac:dyDescent="0.25">
      <c r="A23" s="123"/>
      <c r="B23" s="47" t="s">
        <v>20</v>
      </c>
      <c r="C23" s="57">
        <f>C20-C22</f>
        <v>88.999999999999986</v>
      </c>
      <c r="D23" s="50" t="s">
        <v>105</v>
      </c>
      <c r="E23" s="53"/>
      <c r="F23" s="50"/>
      <c r="H23" s="55"/>
      <c r="I23" s="50"/>
    </row>
    <row r="24" spans="1:19" s="42" customFormat="1" ht="21.95" customHeight="1" x14ac:dyDescent="0.25">
      <c r="A24" s="122"/>
      <c r="B24" s="24" t="s">
        <v>21</v>
      </c>
      <c r="C24" s="362" t="s">
        <v>561</v>
      </c>
      <c r="D24" s="362"/>
      <c r="E24" s="362"/>
      <c r="F24" s="362"/>
      <c r="G24" s="362"/>
      <c r="H24" s="362"/>
      <c r="I24" s="362"/>
    </row>
    <row r="25" spans="1:19" s="36" customFormat="1" ht="223.15" customHeight="1" x14ac:dyDescent="0.25">
      <c r="A25" s="39" t="s">
        <v>9</v>
      </c>
      <c r="B25" s="58" t="s">
        <v>73</v>
      </c>
      <c r="C25" s="366" t="s">
        <v>425</v>
      </c>
      <c r="D25" s="367"/>
      <c r="E25" s="367"/>
      <c r="F25" s="367"/>
      <c r="G25" s="367"/>
      <c r="H25" s="367"/>
      <c r="I25" s="367"/>
      <c r="J25" s="59"/>
      <c r="K25" s="59"/>
      <c r="L25" s="59"/>
      <c r="M25" s="59"/>
      <c r="N25" s="59"/>
      <c r="O25" s="59"/>
      <c r="P25" s="59"/>
      <c r="Q25" s="59"/>
      <c r="R25" s="59"/>
      <c r="S25" s="59"/>
    </row>
    <row r="26" spans="1:19" s="36" customFormat="1" ht="21" customHeight="1" x14ac:dyDescent="0.25">
      <c r="A26" s="39" t="s">
        <v>22</v>
      </c>
      <c r="B26" s="364" t="s">
        <v>82</v>
      </c>
      <c r="C26" s="364"/>
      <c r="D26" s="364"/>
      <c r="E26" s="364"/>
      <c r="F26" s="364"/>
      <c r="G26" s="60"/>
      <c r="H26" s="149" t="s">
        <v>118</v>
      </c>
      <c r="I26" s="60" t="s">
        <v>55</v>
      </c>
      <c r="J26" s="59"/>
      <c r="K26" s="59"/>
      <c r="L26" s="59"/>
      <c r="M26" s="59"/>
      <c r="N26" s="59"/>
      <c r="O26" s="59"/>
      <c r="P26" s="59"/>
      <c r="Q26" s="59"/>
      <c r="R26" s="59"/>
      <c r="S26" s="59"/>
    </row>
    <row r="27" spans="1:19" s="36" customFormat="1" ht="23.25" customHeight="1" x14ac:dyDescent="0.25">
      <c r="A27" s="39" t="s">
        <v>23</v>
      </c>
      <c r="B27" s="364" t="s">
        <v>65</v>
      </c>
      <c r="C27" s="364"/>
      <c r="D27" s="364"/>
      <c r="E27" s="364"/>
      <c r="F27" s="364"/>
      <c r="G27" s="364"/>
      <c r="H27" s="148" t="s">
        <v>128</v>
      </c>
      <c r="I27" s="60" t="s">
        <v>84</v>
      </c>
      <c r="J27" s="59"/>
      <c r="K27" s="59"/>
      <c r="L27" s="59"/>
      <c r="M27" s="59"/>
      <c r="N27" s="59"/>
      <c r="O27" s="59"/>
      <c r="P27" s="59"/>
      <c r="Q27" s="59"/>
      <c r="R27" s="59"/>
      <c r="S27" s="59"/>
    </row>
    <row r="28" spans="1:19" s="41" customFormat="1" x14ac:dyDescent="0.25">
      <c r="A28" s="39" t="s">
        <v>88</v>
      </c>
      <c r="B28" s="364" t="s">
        <v>87</v>
      </c>
      <c r="C28" s="364"/>
      <c r="D28" s="364"/>
      <c r="E28" s="364"/>
      <c r="F28" s="364"/>
      <c r="G28" s="364"/>
      <c r="H28" s="364"/>
      <c r="I28" s="364"/>
    </row>
    <row r="29" spans="1:19" s="40" customFormat="1" x14ac:dyDescent="0.25">
      <c r="A29" s="39" t="s">
        <v>4</v>
      </c>
      <c r="B29" s="360" t="s">
        <v>24</v>
      </c>
      <c r="C29" s="360"/>
      <c r="D29" s="360"/>
      <c r="E29" s="360"/>
      <c r="F29" s="360"/>
      <c r="G29" s="360"/>
      <c r="H29" s="360"/>
      <c r="I29" s="360"/>
      <c r="J29" s="41"/>
      <c r="K29" s="41"/>
      <c r="L29" s="41"/>
      <c r="M29" s="41"/>
      <c r="N29" s="41"/>
      <c r="O29" s="41"/>
      <c r="P29" s="41"/>
      <c r="Q29" s="41"/>
      <c r="R29" s="41"/>
      <c r="S29" s="41"/>
    </row>
    <row r="30" spans="1:19" s="24" customFormat="1" ht="32.25" customHeight="1" x14ac:dyDescent="0.25">
      <c r="A30" s="351" t="s">
        <v>25</v>
      </c>
      <c r="B30" s="353" t="s">
        <v>26</v>
      </c>
      <c r="C30" s="354"/>
      <c r="D30" s="354"/>
      <c r="E30" s="354"/>
      <c r="F30" s="354"/>
      <c r="G30" s="354"/>
      <c r="H30" s="354"/>
      <c r="I30" s="355"/>
    </row>
    <row r="31" spans="1:19" s="25" customFormat="1" ht="49.5" x14ac:dyDescent="0.25">
      <c r="A31" s="352"/>
      <c r="B31" s="353" t="s">
        <v>27</v>
      </c>
      <c r="C31" s="355"/>
      <c r="D31" s="21" t="s">
        <v>28</v>
      </c>
      <c r="E31" s="22" t="s">
        <v>29</v>
      </c>
      <c r="F31" s="22" t="s">
        <v>30</v>
      </c>
      <c r="G31" s="21" t="s">
        <v>31</v>
      </c>
      <c r="H31" s="22" t="s">
        <v>104</v>
      </c>
      <c r="I31" s="22" t="s">
        <v>33</v>
      </c>
    </row>
    <row r="32" spans="1:19" s="62" customFormat="1" ht="18.75" customHeight="1" x14ac:dyDescent="0.25">
      <c r="A32" s="61">
        <v>1</v>
      </c>
      <c r="B32" s="356">
        <v>2</v>
      </c>
      <c r="C32" s="357"/>
      <c r="D32" s="61">
        <v>3</v>
      </c>
      <c r="E32" s="61">
        <v>4</v>
      </c>
      <c r="F32" s="61">
        <v>5</v>
      </c>
      <c r="G32" s="61">
        <v>6</v>
      </c>
      <c r="H32" s="61">
        <v>7</v>
      </c>
      <c r="I32" s="61">
        <v>8</v>
      </c>
    </row>
    <row r="33" spans="1:9" s="68" customFormat="1" ht="39" customHeight="1" x14ac:dyDescent="0.25">
      <c r="A33" s="63">
        <v>1</v>
      </c>
      <c r="B33" s="358" t="s">
        <v>565</v>
      </c>
      <c r="C33" s="359"/>
      <c r="D33" s="64" t="s">
        <v>106</v>
      </c>
      <c r="E33" s="65">
        <f>C22</f>
        <v>72.2</v>
      </c>
      <c r="F33" s="63"/>
      <c r="G33" s="66"/>
      <c r="H33" s="166">
        <f>E33*F33*G33</f>
        <v>0</v>
      </c>
      <c r="I33" s="67"/>
    </row>
    <row r="34" spans="1:9" s="71" customFormat="1" ht="30.75" customHeight="1" x14ac:dyDescent="0.25">
      <c r="A34" s="69"/>
      <c r="B34" s="349" t="s">
        <v>34</v>
      </c>
      <c r="C34" s="350"/>
      <c r="D34" s="69"/>
      <c r="E34" s="69"/>
      <c r="F34" s="69"/>
      <c r="G34" s="69"/>
      <c r="H34" s="169">
        <f>SUM(H33:H33)</f>
        <v>0</v>
      </c>
      <c r="I34" s="69"/>
    </row>
    <row r="35" spans="1:9" ht="11.25" customHeight="1" x14ac:dyDescent="0.25">
      <c r="A35" s="77"/>
      <c r="B35" s="72"/>
      <c r="C35" s="72"/>
      <c r="D35" s="73"/>
      <c r="E35" s="73"/>
      <c r="F35" s="73"/>
      <c r="G35" s="73"/>
      <c r="H35" s="73"/>
      <c r="I35" s="73"/>
    </row>
    <row r="36" spans="1:9" x14ac:dyDescent="0.25">
      <c r="A36" s="75" t="s">
        <v>9</v>
      </c>
      <c r="B36" s="360" t="s">
        <v>35</v>
      </c>
      <c r="C36" s="360"/>
      <c r="D36" s="360"/>
      <c r="E36" s="360"/>
      <c r="F36" s="360"/>
      <c r="G36" s="360"/>
      <c r="H36" s="360"/>
      <c r="I36" s="360"/>
    </row>
    <row r="37" spans="1:9" s="23" customFormat="1" ht="49.5" x14ac:dyDescent="0.25">
      <c r="A37" s="29" t="s">
        <v>25</v>
      </c>
      <c r="B37" s="353" t="s">
        <v>27</v>
      </c>
      <c r="C37" s="355"/>
      <c r="D37" s="21" t="s">
        <v>28</v>
      </c>
      <c r="E37" s="22" t="s">
        <v>29</v>
      </c>
      <c r="F37" s="22" t="s">
        <v>30</v>
      </c>
      <c r="G37" s="21" t="s">
        <v>31</v>
      </c>
      <c r="H37" s="22" t="s">
        <v>32</v>
      </c>
      <c r="I37" s="22" t="s">
        <v>33</v>
      </c>
    </row>
    <row r="38" spans="1:9" s="62" customFormat="1" ht="18" customHeight="1" x14ac:dyDescent="0.25">
      <c r="A38" s="61">
        <v>1</v>
      </c>
      <c r="B38" s="356">
        <v>2</v>
      </c>
      <c r="C38" s="357"/>
      <c r="D38" s="61">
        <v>3</v>
      </c>
      <c r="E38" s="61">
        <v>4</v>
      </c>
      <c r="F38" s="61">
        <v>5</v>
      </c>
      <c r="G38" s="61">
        <v>6</v>
      </c>
      <c r="H38" s="61">
        <v>7</v>
      </c>
      <c r="I38" s="61">
        <v>8</v>
      </c>
    </row>
    <row r="39" spans="1:9" ht="37.5" customHeight="1" x14ac:dyDescent="0.25">
      <c r="A39" s="26">
        <v>1</v>
      </c>
      <c r="B39" s="353"/>
      <c r="C39" s="355"/>
      <c r="D39" s="27"/>
      <c r="E39" s="22"/>
      <c r="F39" s="27"/>
      <c r="G39" s="27"/>
      <c r="H39" s="27"/>
      <c r="I39" s="26" t="s">
        <v>36</v>
      </c>
    </row>
    <row r="40" spans="1:9" s="71" customFormat="1" ht="25.5" customHeight="1" x14ac:dyDescent="0.25">
      <c r="A40" s="69"/>
      <c r="B40" s="349" t="s">
        <v>34</v>
      </c>
      <c r="C40" s="350"/>
      <c r="D40" s="74"/>
      <c r="E40" s="69"/>
      <c r="F40" s="74"/>
      <c r="G40" s="74"/>
      <c r="H40" s="74"/>
      <c r="I40" s="69"/>
    </row>
    <row r="41" spans="1:9" x14ac:dyDescent="0.25">
      <c r="A41" s="124"/>
      <c r="B41" s="75"/>
      <c r="C41" s="75"/>
      <c r="D41" s="76"/>
      <c r="E41" s="75"/>
      <c r="F41" s="76"/>
      <c r="G41" s="76"/>
      <c r="H41" s="76"/>
      <c r="I41" s="75"/>
    </row>
    <row r="42" spans="1:9" x14ac:dyDescent="0.25">
      <c r="A42" s="324"/>
      <c r="B42" s="327" t="s">
        <v>37</v>
      </c>
      <c r="C42" s="328"/>
      <c r="D42" s="328"/>
      <c r="E42" s="328"/>
      <c r="F42" s="328"/>
      <c r="G42" s="329"/>
      <c r="H42" s="27"/>
      <c r="I42" s="26" t="s">
        <v>74</v>
      </c>
    </row>
    <row r="43" spans="1:9" x14ac:dyDescent="0.25">
      <c r="A43" s="325"/>
      <c r="B43" s="330" t="s">
        <v>38</v>
      </c>
      <c r="C43" s="331"/>
      <c r="D43" s="331"/>
      <c r="E43" s="331"/>
      <c r="F43" s="331"/>
      <c r="G43" s="332"/>
      <c r="H43" s="27"/>
      <c r="I43" s="26" t="s">
        <v>74</v>
      </c>
    </row>
    <row r="44" spans="1:9" x14ac:dyDescent="0.25">
      <c r="A44" s="326"/>
      <c r="B44" s="333" t="s">
        <v>39</v>
      </c>
      <c r="C44" s="334"/>
      <c r="D44" s="334"/>
      <c r="E44" s="334"/>
      <c r="F44" s="334"/>
      <c r="G44" s="335"/>
      <c r="H44" s="27"/>
      <c r="I44" s="26" t="s">
        <v>74</v>
      </c>
    </row>
    <row r="45" spans="1:9" ht="7.5" customHeight="1" x14ac:dyDescent="0.25">
      <c r="A45" s="77"/>
      <c r="B45" s="72"/>
      <c r="C45" s="72"/>
      <c r="D45" s="72"/>
      <c r="E45" s="78"/>
      <c r="F45" s="72"/>
      <c r="G45" s="72"/>
      <c r="H45" s="79"/>
      <c r="I45" s="79"/>
    </row>
    <row r="46" spans="1:9" ht="26.25" customHeight="1" x14ac:dyDescent="0.25">
      <c r="A46" s="125" t="s">
        <v>22</v>
      </c>
      <c r="B46" s="336" t="s">
        <v>40</v>
      </c>
      <c r="C46" s="336"/>
      <c r="D46" s="336"/>
      <c r="E46" s="336"/>
      <c r="F46" s="336"/>
      <c r="G46" s="336"/>
      <c r="H46" s="80"/>
      <c r="I46" s="81"/>
    </row>
    <row r="47" spans="1:9" s="30" customFormat="1" ht="49.5" x14ac:dyDescent="0.25">
      <c r="A47" s="21" t="s">
        <v>25</v>
      </c>
      <c r="B47" s="21" t="s">
        <v>41</v>
      </c>
      <c r="C47" s="21" t="s">
        <v>28</v>
      </c>
      <c r="D47" s="21" t="s">
        <v>42</v>
      </c>
      <c r="E47" s="21" t="s">
        <v>43</v>
      </c>
      <c r="F47" s="22" t="s">
        <v>30</v>
      </c>
      <c r="G47" s="21" t="s">
        <v>31</v>
      </c>
      <c r="H47" s="21" t="s">
        <v>45</v>
      </c>
      <c r="I47" s="21" t="s">
        <v>33</v>
      </c>
    </row>
    <row r="48" spans="1:9" s="83" customFormat="1" ht="18" customHeight="1" x14ac:dyDescent="0.25">
      <c r="A48" s="82">
        <v>1</v>
      </c>
      <c r="B48" s="82">
        <v>2</v>
      </c>
      <c r="C48" s="82">
        <v>3</v>
      </c>
      <c r="D48" s="82">
        <v>4</v>
      </c>
      <c r="E48" s="82">
        <v>5</v>
      </c>
      <c r="F48" s="82">
        <v>6</v>
      </c>
      <c r="G48" s="82">
        <v>7</v>
      </c>
      <c r="H48" s="82">
        <v>8</v>
      </c>
      <c r="I48" s="82">
        <v>9</v>
      </c>
    </row>
    <row r="49" spans="1:12" s="89" customFormat="1" ht="30" customHeight="1" x14ac:dyDescent="0.25">
      <c r="A49" s="21" t="s">
        <v>46</v>
      </c>
      <c r="B49" s="84" t="s">
        <v>47</v>
      </c>
      <c r="C49" s="85"/>
      <c r="D49" s="85"/>
      <c r="E49" s="86"/>
      <c r="F49" s="85"/>
      <c r="G49" s="85"/>
      <c r="H49" s="157">
        <f>SUM(H50:H58)</f>
        <v>0</v>
      </c>
      <c r="I49" s="88"/>
    </row>
    <row r="50" spans="1:12" s="89" customFormat="1" ht="33.75" customHeight="1" x14ac:dyDescent="0.25">
      <c r="A50" s="90">
        <v>1</v>
      </c>
      <c r="B50" s="132" t="s">
        <v>90</v>
      </c>
      <c r="C50" s="64" t="s">
        <v>106</v>
      </c>
      <c r="D50" s="96" t="s">
        <v>426</v>
      </c>
      <c r="E50" s="130">
        <f>4.52*4.9</f>
        <v>22.148</v>
      </c>
      <c r="F50" s="93"/>
      <c r="G50" s="93"/>
      <c r="H50" s="94"/>
      <c r="I50" s="324" t="s">
        <v>110</v>
      </c>
    </row>
    <row r="51" spans="1:12" s="89" customFormat="1" ht="33.75" customHeight="1" x14ac:dyDescent="0.25">
      <c r="A51" s="90">
        <v>2</v>
      </c>
      <c r="B51" s="132" t="s">
        <v>96</v>
      </c>
      <c r="C51" s="64" t="s">
        <v>106</v>
      </c>
      <c r="D51" s="96" t="s">
        <v>427</v>
      </c>
      <c r="E51" s="238">
        <f>4.5*2.7</f>
        <v>12.15</v>
      </c>
      <c r="F51" s="93"/>
      <c r="G51" s="93"/>
      <c r="H51" s="94"/>
      <c r="I51" s="325"/>
    </row>
    <row r="52" spans="1:12" s="89" customFormat="1" ht="33.75" customHeight="1" x14ac:dyDescent="0.25">
      <c r="A52" s="244">
        <v>3</v>
      </c>
      <c r="B52" s="132" t="s">
        <v>428</v>
      </c>
      <c r="C52" s="64" t="s">
        <v>106</v>
      </c>
      <c r="D52" s="96" t="s">
        <v>427</v>
      </c>
      <c r="E52" s="238">
        <f>4.5*2.7</f>
        <v>12.15</v>
      </c>
      <c r="F52" s="93"/>
      <c r="G52" s="93"/>
      <c r="H52" s="94"/>
      <c r="I52" s="325"/>
    </row>
    <row r="53" spans="1:12" s="89" customFormat="1" ht="72.599999999999994" customHeight="1" x14ac:dyDescent="0.25">
      <c r="A53" s="90">
        <v>4</v>
      </c>
      <c r="B53" s="132" t="s">
        <v>429</v>
      </c>
      <c r="C53" s="64" t="s">
        <v>106</v>
      </c>
      <c r="D53" s="96" t="s">
        <v>431</v>
      </c>
      <c r="E53" s="130">
        <f>1.42*4.52</f>
        <v>6.4183999999999992</v>
      </c>
      <c r="F53" s="93"/>
      <c r="G53" s="93"/>
      <c r="H53" s="94"/>
      <c r="I53" s="325"/>
    </row>
    <row r="54" spans="1:12" s="89" customFormat="1" ht="32.450000000000003" customHeight="1" x14ac:dyDescent="0.25">
      <c r="A54" s="244"/>
      <c r="B54" s="132" t="s">
        <v>432</v>
      </c>
      <c r="C54" s="64" t="s">
        <v>106</v>
      </c>
      <c r="D54" s="96" t="s">
        <v>430</v>
      </c>
      <c r="E54" s="268">
        <v>5.43</v>
      </c>
      <c r="F54" s="93"/>
      <c r="G54" s="93"/>
      <c r="H54" s="94"/>
      <c r="I54" s="325"/>
    </row>
    <row r="55" spans="1:12" s="89" customFormat="1" ht="33.75" customHeight="1" x14ac:dyDescent="0.25">
      <c r="A55" s="90"/>
      <c r="B55" s="132" t="s">
        <v>433</v>
      </c>
      <c r="C55" s="64" t="s">
        <v>106</v>
      </c>
      <c r="D55" s="96" t="s">
        <v>145</v>
      </c>
      <c r="E55" s="130">
        <f>E53</f>
        <v>6.4183999999999992</v>
      </c>
      <c r="F55" s="93"/>
      <c r="G55" s="93"/>
      <c r="H55" s="94"/>
      <c r="I55" s="325"/>
    </row>
    <row r="56" spans="1:12" s="89" customFormat="1" ht="72" customHeight="1" x14ac:dyDescent="0.25">
      <c r="A56" s="90">
        <v>5</v>
      </c>
      <c r="B56" s="132" t="s">
        <v>434</v>
      </c>
      <c r="C56" s="64" t="s">
        <v>106</v>
      </c>
      <c r="D56" s="96" t="s">
        <v>435</v>
      </c>
      <c r="E56" s="130">
        <f>7.88*4.52</f>
        <v>35.617599999999996</v>
      </c>
      <c r="F56" s="93"/>
      <c r="G56" s="93"/>
      <c r="H56" s="94"/>
      <c r="I56" s="325"/>
    </row>
    <row r="57" spans="1:12" s="89" customFormat="1" ht="33.75" customHeight="1" x14ac:dyDescent="0.25">
      <c r="A57" s="90"/>
      <c r="B57" s="132" t="s">
        <v>109</v>
      </c>
      <c r="C57" s="64" t="s">
        <v>106</v>
      </c>
      <c r="D57" s="96" t="s">
        <v>436</v>
      </c>
      <c r="E57" s="234">
        <v>34.36</v>
      </c>
      <c r="F57" s="93"/>
      <c r="G57" s="93"/>
      <c r="H57" s="94"/>
      <c r="I57" s="325"/>
    </row>
    <row r="58" spans="1:12" s="89" customFormat="1" ht="33.75" customHeight="1" x14ac:dyDescent="0.25">
      <c r="A58" s="90"/>
      <c r="B58" s="132" t="s">
        <v>120</v>
      </c>
      <c r="C58" s="64" t="s">
        <v>106</v>
      </c>
      <c r="D58" s="96" t="s">
        <v>350</v>
      </c>
      <c r="E58" s="130">
        <f>E56-E57</f>
        <v>1.2575999999999965</v>
      </c>
      <c r="F58" s="93"/>
      <c r="G58" s="93"/>
      <c r="H58" s="94"/>
      <c r="I58" s="325"/>
    </row>
    <row r="59" spans="1:12" s="89" customFormat="1" ht="30.75" customHeight="1" x14ac:dyDescent="0.25">
      <c r="A59" s="21" t="s">
        <v>48</v>
      </c>
      <c r="B59" s="84" t="s">
        <v>49</v>
      </c>
      <c r="C59" s="85"/>
      <c r="D59" s="85"/>
      <c r="E59" s="92"/>
      <c r="F59" s="85"/>
      <c r="G59" s="85"/>
      <c r="H59" s="157">
        <f>SUM(H60:H60)</f>
        <v>0</v>
      </c>
      <c r="I59" s="150"/>
    </row>
    <row r="60" spans="1:12" s="89" customFormat="1" x14ac:dyDescent="0.25">
      <c r="A60" s="90">
        <v>1</v>
      </c>
      <c r="B60" s="91"/>
      <c r="C60" s="93"/>
      <c r="D60" s="90"/>
      <c r="E60" s="92"/>
      <c r="F60" s="97"/>
      <c r="G60" s="98"/>
      <c r="H60" s="184"/>
      <c r="I60" s="150"/>
    </row>
    <row r="61" spans="1:12" s="102" customFormat="1" ht="31.5" customHeight="1" x14ac:dyDescent="0.25">
      <c r="A61" s="126"/>
      <c r="B61" s="100" t="s">
        <v>50</v>
      </c>
      <c r="C61" s="100"/>
      <c r="D61" s="100"/>
      <c r="E61" s="100"/>
      <c r="F61" s="100"/>
      <c r="G61" s="100"/>
      <c r="H61" s="158">
        <f>H49+H59</f>
        <v>0</v>
      </c>
      <c r="I61" s="101"/>
    </row>
    <row r="62" spans="1:12" ht="22.5" customHeight="1" x14ac:dyDescent="0.25">
      <c r="A62" s="127">
        <v>4</v>
      </c>
      <c r="B62" s="337" t="s">
        <v>51</v>
      </c>
      <c r="C62" s="337"/>
      <c r="D62" s="337"/>
      <c r="E62" s="337"/>
      <c r="F62" s="337"/>
      <c r="G62" s="337"/>
      <c r="H62" s="51"/>
      <c r="I62" s="51"/>
    </row>
    <row r="63" spans="1:12" s="104" customFormat="1" ht="49.5" x14ac:dyDescent="0.25">
      <c r="A63" s="103" t="s">
        <v>25</v>
      </c>
      <c r="B63" s="338" t="s">
        <v>52</v>
      </c>
      <c r="C63" s="339"/>
      <c r="D63" s="21" t="s">
        <v>29</v>
      </c>
      <c r="E63" s="21" t="s">
        <v>53</v>
      </c>
      <c r="F63" s="21" t="s">
        <v>44</v>
      </c>
      <c r="G63" s="21" t="s">
        <v>54</v>
      </c>
      <c r="H63" s="21" t="s">
        <v>45</v>
      </c>
      <c r="I63" s="21" t="s">
        <v>33</v>
      </c>
    </row>
    <row r="64" spans="1:12" ht="24" customHeight="1" x14ac:dyDescent="0.25">
      <c r="A64" s="105"/>
      <c r="B64" s="340"/>
      <c r="C64" s="341"/>
      <c r="D64" s="106"/>
      <c r="E64" s="105"/>
      <c r="F64" s="107"/>
      <c r="G64" s="108"/>
      <c r="H64" s="176"/>
      <c r="I64" s="109"/>
      <c r="L64" s="110"/>
    </row>
    <row r="65" spans="1:12" s="112" customFormat="1" ht="27.75" customHeight="1" x14ac:dyDescent="0.25">
      <c r="A65" s="126"/>
      <c r="B65" s="342" t="s">
        <v>34</v>
      </c>
      <c r="C65" s="343"/>
      <c r="D65" s="100"/>
      <c r="E65" s="100"/>
      <c r="F65" s="100"/>
      <c r="G65" s="100"/>
      <c r="H65" s="163">
        <f>SUM(H64)</f>
        <v>0</v>
      </c>
      <c r="I65" s="111"/>
      <c r="L65" s="113"/>
    </row>
    <row r="66" spans="1:12" s="115" customFormat="1" ht="27.75" customHeight="1" x14ac:dyDescent="0.25">
      <c r="A66" s="128">
        <v>5</v>
      </c>
      <c r="B66" s="344" t="s">
        <v>56</v>
      </c>
      <c r="C66" s="344"/>
      <c r="D66" s="344"/>
      <c r="E66" s="344"/>
      <c r="F66" s="344"/>
      <c r="G66" s="345"/>
      <c r="H66" s="164">
        <f>H65+H61+H40+H34</f>
        <v>0</v>
      </c>
      <c r="I66" s="114" t="s">
        <v>57</v>
      </c>
    </row>
    <row r="67" spans="1:12" s="117" customFormat="1" ht="17.25" x14ac:dyDescent="0.25">
      <c r="A67" s="129"/>
      <c r="B67" s="116" t="s">
        <v>78</v>
      </c>
      <c r="C67" s="346" t="s">
        <v>91</v>
      </c>
      <c r="D67" s="346"/>
      <c r="E67" s="346"/>
      <c r="F67" s="346"/>
      <c r="G67" s="346"/>
      <c r="H67" s="346"/>
      <c r="I67" s="346"/>
    </row>
    <row r="68" spans="1:12" s="41" customFormat="1" ht="17.25" hidden="1" x14ac:dyDescent="0.3">
      <c r="A68" s="39"/>
      <c r="B68" s="118"/>
      <c r="E68" s="119"/>
      <c r="F68" s="316" t="s">
        <v>75</v>
      </c>
      <c r="G68" s="316"/>
      <c r="H68" s="316"/>
      <c r="I68" s="316"/>
    </row>
    <row r="69" spans="1:12" hidden="1" x14ac:dyDescent="0.25">
      <c r="F69" s="316" t="s">
        <v>76</v>
      </c>
      <c r="G69" s="316"/>
      <c r="H69" s="316"/>
      <c r="I69" s="316"/>
    </row>
    <row r="70" spans="1:12" hidden="1" x14ac:dyDescent="0.25">
      <c r="F70" s="317"/>
      <c r="G70" s="317"/>
      <c r="H70" s="317"/>
      <c r="I70" s="317"/>
    </row>
    <row r="71" spans="1:12" hidden="1" x14ac:dyDescent="0.25"/>
    <row r="72" spans="1:12" hidden="1" x14ac:dyDescent="0.25"/>
    <row r="73" spans="1:12" hidden="1" x14ac:dyDescent="0.25"/>
    <row r="74" spans="1:12" hidden="1" x14ac:dyDescent="0.25"/>
    <row r="75" spans="1:12" hidden="1" x14ac:dyDescent="0.25"/>
    <row r="76" spans="1:12" hidden="1" x14ac:dyDescent="0.25">
      <c r="F76" s="318" t="s">
        <v>77</v>
      </c>
      <c r="G76" s="318"/>
      <c r="H76" s="318"/>
      <c r="I76" s="318"/>
    </row>
    <row r="77" spans="1:12" ht="57.75" customHeight="1" x14ac:dyDescent="0.25">
      <c r="A77" s="319" t="s">
        <v>100</v>
      </c>
      <c r="B77" s="319"/>
      <c r="C77" s="319"/>
      <c r="D77" s="319"/>
      <c r="E77" s="319"/>
      <c r="F77" s="319"/>
      <c r="G77" s="319"/>
      <c r="H77" s="319"/>
      <c r="I77" s="319"/>
    </row>
    <row r="78" spans="1:12" x14ac:dyDescent="0.25">
      <c r="A78" s="315" t="s">
        <v>102</v>
      </c>
      <c r="B78" s="315"/>
      <c r="C78" s="315"/>
      <c r="D78" s="315"/>
      <c r="E78" s="315"/>
      <c r="F78" s="315"/>
      <c r="G78" s="315"/>
      <c r="H78" s="315"/>
      <c r="I78" s="315"/>
    </row>
    <row r="79" spans="1:12" x14ac:dyDescent="0.25">
      <c r="A79" s="320" t="s">
        <v>107</v>
      </c>
      <c r="B79" s="320"/>
      <c r="C79" s="320"/>
      <c r="D79" s="321"/>
      <c r="E79" s="322" t="s">
        <v>108</v>
      </c>
      <c r="F79" s="323"/>
      <c r="G79" s="323"/>
      <c r="H79" s="323"/>
      <c r="I79" s="323"/>
    </row>
    <row r="80" spans="1:12" x14ac:dyDescent="0.25">
      <c r="A80" s="320"/>
      <c r="B80" s="320"/>
      <c r="C80" s="320"/>
      <c r="D80" s="321"/>
      <c r="E80" s="322"/>
      <c r="F80" s="323"/>
      <c r="G80" s="323"/>
      <c r="H80" s="323"/>
      <c r="I80" s="323"/>
    </row>
    <row r="81" spans="1:9" x14ac:dyDescent="0.25">
      <c r="A81" s="320"/>
      <c r="B81" s="320"/>
      <c r="C81" s="320"/>
      <c r="D81" s="321"/>
      <c r="E81" s="38"/>
      <c r="I81" s="20"/>
    </row>
    <row r="82" spans="1:9" x14ac:dyDescent="0.25">
      <c r="A82" s="315" t="s">
        <v>101</v>
      </c>
      <c r="B82" s="315"/>
      <c r="C82" s="315"/>
      <c r="D82" s="315"/>
      <c r="E82" s="315"/>
      <c r="F82" s="315"/>
      <c r="G82" s="315"/>
      <c r="H82" s="315"/>
      <c r="I82" s="315"/>
    </row>
  </sheetData>
  <mergeCells count="59">
    <mergeCell ref="A77:I77"/>
    <mergeCell ref="A78:I78"/>
    <mergeCell ref="A79:D81"/>
    <mergeCell ref="E79:I80"/>
    <mergeCell ref="A82:I82"/>
    <mergeCell ref="F76:I76"/>
    <mergeCell ref="B46:G46"/>
    <mergeCell ref="I50:I58"/>
    <mergeCell ref="B62:G62"/>
    <mergeCell ref="B63:C63"/>
    <mergeCell ref="B64:C64"/>
    <mergeCell ref="B65:C65"/>
    <mergeCell ref="B66:G66"/>
    <mergeCell ref="C67:I67"/>
    <mergeCell ref="F68:I68"/>
    <mergeCell ref="F69:I69"/>
    <mergeCell ref="F70:I70"/>
    <mergeCell ref="B39:C39"/>
    <mergeCell ref="B40:C40"/>
    <mergeCell ref="A42:A44"/>
    <mergeCell ref="B42:G42"/>
    <mergeCell ref="B43:G43"/>
    <mergeCell ref="B44:G44"/>
    <mergeCell ref="B38:C38"/>
    <mergeCell ref="B27:G27"/>
    <mergeCell ref="B28:I28"/>
    <mergeCell ref="B29:I29"/>
    <mergeCell ref="A30:A31"/>
    <mergeCell ref="B30:I30"/>
    <mergeCell ref="B31:C31"/>
    <mergeCell ref="B32:C32"/>
    <mergeCell ref="B33:C33"/>
    <mergeCell ref="B34:C34"/>
    <mergeCell ref="B36:I36"/>
    <mergeCell ref="B37:C37"/>
    <mergeCell ref="B26:F26"/>
    <mergeCell ref="C10:I10"/>
    <mergeCell ref="C11:I11"/>
    <mergeCell ref="C12:E12"/>
    <mergeCell ref="F13:I13"/>
    <mergeCell ref="C14:I14"/>
    <mergeCell ref="C15:I15"/>
    <mergeCell ref="C16:E16"/>
    <mergeCell ref="B17:I17"/>
    <mergeCell ref="D19:E19"/>
    <mergeCell ref="C24:I24"/>
    <mergeCell ref="C25:I25"/>
    <mergeCell ref="A5:I5"/>
    <mergeCell ref="A6:I6"/>
    <mergeCell ref="A7:I7"/>
    <mergeCell ref="B8:I8"/>
    <mergeCell ref="B9:E9"/>
    <mergeCell ref="F9:I9"/>
    <mergeCell ref="A1:D1"/>
    <mergeCell ref="E1:I1"/>
    <mergeCell ref="A2:D2"/>
    <mergeCell ref="E2:I2"/>
    <mergeCell ref="A4:D4"/>
    <mergeCell ref="E4:I4"/>
  </mergeCells>
  <pageMargins left="0.19685039370078741" right="0.15748031496062992" top="0.35433070866141736" bottom="0.35433070866141736" header="0.19685039370078741" footer="0.15748031496062992"/>
  <pageSetup paperSize="9" scale="80" orientation="portrait" r:id="rId1"/>
  <drawing r:id="rId2"/>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S80"/>
  <sheetViews>
    <sheetView topLeftCell="A12" workbookViewId="0">
      <selection activeCell="F9" sqref="F9:I9"/>
    </sheetView>
  </sheetViews>
  <sheetFormatPr defaultColWidth="9.140625" defaultRowHeight="16.5" x14ac:dyDescent="0.25"/>
  <cols>
    <col min="1" max="1" width="4.28515625" style="68" customWidth="1"/>
    <col min="2" max="2" width="27.28515625" style="20" customWidth="1"/>
    <col min="3" max="3" width="8.7109375" style="20" customWidth="1"/>
    <col min="4" max="4" width="22.7109375" style="20" customWidth="1"/>
    <col min="5" max="5" width="9.7109375" style="23" customWidth="1"/>
    <col min="6" max="6" width="12.28515625" style="20" customWidth="1"/>
    <col min="7" max="7" width="9.42578125" style="20" customWidth="1"/>
    <col min="8" max="8" width="15" style="20" customWidth="1"/>
    <col min="9" max="9" width="16" style="120" customWidth="1"/>
    <col min="10" max="11" width="9.140625" style="20" customWidth="1"/>
    <col min="12" max="12" width="11.42578125" style="20" customWidth="1"/>
    <col min="13" max="19" width="9.140625" style="20" customWidth="1"/>
    <col min="20" max="16384" width="9.140625" style="20"/>
  </cols>
  <sheetData>
    <row r="1" spans="1:17" s="36" customFormat="1" x14ac:dyDescent="0.25">
      <c r="A1" s="368" t="s">
        <v>98</v>
      </c>
      <c r="B1" s="368"/>
      <c r="C1" s="368"/>
      <c r="D1" s="368"/>
      <c r="E1" s="368" t="s">
        <v>0</v>
      </c>
      <c r="F1" s="368"/>
      <c r="G1" s="368"/>
      <c r="H1" s="368"/>
      <c r="I1" s="368"/>
    </row>
    <row r="2" spans="1:17" s="36" customFormat="1" x14ac:dyDescent="0.25">
      <c r="A2" s="369" t="s">
        <v>99</v>
      </c>
      <c r="B2" s="369"/>
      <c r="C2" s="369"/>
      <c r="D2" s="369"/>
      <c r="E2" s="369" t="s">
        <v>1</v>
      </c>
      <c r="F2" s="368"/>
      <c r="G2" s="368"/>
      <c r="H2" s="368"/>
      <c r="I2" s="368"/>
    </row>
    <row r="3" spans="1:17" s="36" customFormat="1" ht="20.25" customHeight="1" x14ac:dyDescent="0.25">
      <c r="A3" s="39"/>
      <c r="C3" s="39"/>
      <c r="D3" s="39"/>
      <c r="E3" s="39"/>
      <c r="F3" s="39"/>
      <c r="G3" s="39"/>
      <c r="H3" s="39"/>
      <c r="I3" s="37"/>
    </row>
    <row r="4" spans="1:17" s="36" customFormat="1" ht="23.25" customHeight="1" x14ac:dyDescent="0.25">
      <c r="A4" s="369" t="s">
        <v>89</v>
      </c>
      <c r="B4" s="369"/>
      <c r="C4" s="369"/>
      <c r="E4" s="370" t="s">
        <v>185</v>
      </c>
      <c r="F4" s="370"/>
      <c r="G4" s="370"/>
      <c r="H4" s="370"/>
      <c r="I4" s="370"/>
    </row>
    <row r="5" spans="1:17" s="40" customFormat="1" ht="18.75" customHeight="1" x14ac:dyDescent="0.25">
      <c r="A5" s="371" t="s">
        <v>85</v>
      </c>
      <c r="B5" s="371"/>
      <c r="C5" s="371"/>
      <c r="D5" s="371"/>
      <c r="E5" s="371"/>
      <c r="F5" s="371"/>
      <c r="G5" s="371"/>
      <c r="H5" s="371"/>
      <c r="I5" s="371"/>
    </row>
    <row r="6" spans="1:17" s="40" customFormat="1" ht="39.75" customHeight="1" x14ac:dyDescent="0.25">
      <c r="A6" s="372" t="s">
        <v>86</v>
      </c>
      <c r="B6" s="372"/>
      <c r="C6" s="372"/>
      <c r="D6" s="372"/>
      <c r="E6" s="372"/>
      <c r="F6" s="372"/>
      <c r="G6" s="372"/>
      <c r="H6" s="372"/>
      <c r="I6" s="372"/>
      <c r="Q6" s="41"/>
    </row>
    <row r="7" spans="1:17" s="40" customFormat="1" ht="21" customHeight="1" x14ac:dyDescent="0.25">
      <c r="A7" s="373" t="s">
        <v>166</v>
      </c>
      <c r="B7" s="373"/>
      <c r="C7" s="373"/>
      <c r="D7" s="373"/>
      <c r="E7" s="373"/>
      <c r="F7" s="373"/>
      <c r="G7" s="373"/>
      <c r="H7" s="373"/>
      <c r="I7" s="373"/>
    </row>
    <row r="8" spans="1:17" s="42" customFormat="1" ht="21.95" customHeight="1" x14ac:dyDescent="0.25">
      <c r="A8" s="121" t="s">
        <v>2</v>
      </c>
      <c r="B8" s="362" t="s">
        <v>3</v>
      </c>
      <c r="C8" s="362"/>
      <c r="D8" s="362"/>
      <c r="E8" s="362"/>
      <c r="F8" s="362"/>
      <c r="G8" s="362"/>
      <c r="H8" s="362"/>
      <c r="I8" s="362"/>
    </row>
    <row r="9" spans="1:17" s="42" customFormat="1" ht="21.95" customHeight="1" x14ac:dyDescent="0.25">
      <c r="A9" s="121" t="s">
        <v>4</v>
      </c>
      <c r="B9" s="374" t="s">
        <v>5</v>
      </c>
      <c r="C9" s="374"/>
      <c r="D9" s="374"/>
      <c r="E9" s="374"/>
      <c r="F9" s="365" t="s">
        <v>351</v>
      </c>
      <c r="G9" s="365"/>
      <c r="H9" s="365"/>
      <c r="I9" s="365"/>
    </row>
    <row r="10" spans="1:17" s="42" customFormat="1" ht="21.95" customHeight="1" x14ac:dyDescent="0.25">
      <c r="A10" s="122"/>
      <c r="B10" s="24" t="s">
        <v>6</v>
      </c>
      <c r="C10" s="365" t="s">
        <v>251</v>
      </c>
      <c r="D10" s="365"/>
      <c r="E10" s="365"/>
      <c r="F10" s="365"/>
      <c r="G10" s="365"/>
      <c r="H10" s="365"/>
      <c r="I10" s="365"/>
    </row>
    <row r="11" spans="1:17" s="42" customFormat="1" ht="21.95" customHeight="1" x14ac:dyDescent="0.25">
      <c r="A11" s="122"/>
      <c r="B11" s="24" t="s">
        <v>7</v>
      </c>
      <c r="C11" s="365" t="s">
        <v>251</v>
      </c>
      <c r="D11" s="365"/>
      <c r="E11" s="365"/>
      <c r="F11" s="365"/>
      <c r="G11" s="365"/>
      <c r="H11" s="365"/>
      <c r="I11" s="365"/>
    </row>
    <row r="12" spans="1:17" s="42" customFormat="1" ht="21.95" customHeight="1" x14ac:dyDescent="0.25">
      <c r="A12" s="122"/>
      <c r="B12" s="24" t="s">
        <v>11</v>
      </c>
      <c r="C12" s="233" t="s">
        <v>352</v>
      </c>
      <c r="D12" s="233"/>
      <c r="E12" s="233"/>
      <c r="F12" s="43"/>
      <c r="G12" s="43"/>
      <c r="H12" s="43"/>
      <c r="I12" s="43"/>
    </row>
    <row r="13" spans="1:17" s="42" customFormat="1" ht="21.95" customHeight="1" x14ac:dyDescent="0.25">
      <c r="A13" s="121" t="s">
        <v>9</v>
      </c>
      <c r="B13" s="44" t="s">
        <v>10</v>
      </c>
      <c r="E13" s="43"/>
      <c r="F13" s="362" t="str">
        <f>F9</f>
        <v>Vũ Viết Chinh - Nguyễn Thị Phương</v>
      </c>
      <c r="G13" s="362"/>
      <c r="H13" s="362"/>
      <c r="I13" s="362"/>
      <c r="J13" s="143"/>
    </row>
    <row r="14" spans="1:17" s="42" customFormat="1" ht="21.95" customHeight="1" x14ac:dyDescent="0.25">
      <c r="A14" s="122"/>
      <c r="B14" s="24" t="s">
        <v>6</v>
      </c>
      <c r="C14" s="365" t="str">
        <f>+C10</f>
        <v>Thôn Phố Gốt - Xã Phú Nghĩa - TP Hà Nội</v>
      </c>
      <c r="D14" s="365"/>
      <c r="E14" s="365"/>
      <c r="F14" s="365"/>
      <c r="G14" s="365"/>
      <c r="H14" s="365"/>
      <c r="I14" s="365"/>
    </row>
    <row r="15" spans="1:17" s="42" customFormat="1" ht="21.95" customHeight="1" x14ac:dyDescent="0.25">
      <c r="A15" s="122"/>
      <c r="B15" s="24" t="s">
        <v>7</v>
      </c>
      <c r="C15" s="365" t="str">
        <f>C11</f>
        <v>Thôn Phố Gốt - Xã Phú Nghĩa - TP Hà Nội</v>
      </c>
      <c r="D15" s="365"/>
      <c r="E15" s="365"/>
      <c r="F15" s="365"/>
      <c r="G15" s="365"/>
      <c r="H15" s="365"/>
      <c r="I15" s="365"/>
    </row>
    <row r="16" spans="1:17" s="42" customFormat="1" ht="21.95" customHeight="1" x14ac:dyDescent="0.25">
      <c r="A16" s="122"/>
      <c r="B16" s="24" t="s">
        <v>11</v>
      </c>
      <c r="C16" s="233" t="str">
        <f>+C12</f>
        <v>001067020168</v>
      </c>
      <c r="D16" s="233"/>
      <c r="E16" s="233"/>
      <c r="F16" s="43"/>
      <c r="G16" s="43"/>
      <c r="H16" s="43"/>
      <c r="I16" s="43"/>
    </row>
    <row r="17" spans="1:19" s="42" customFormat="1" ht="21.95" customHeight="1" x14ac:dyDescent="0.25">
      <c r="A17" s="121" t="s">
        <v>12</v>
      </c>
      <c r="B17" s="362" t="s">
        <v>13</v>
      </c>
      <c r="C17" s="362"/>
      <c r="D17" s="362"/>
      <c r="E17" s="362"/>
      <c r="F17" s="362"/>
      <c r="G17" s="362"/>
      <c r="H17" s="362"/>
      <c r="I17" s="362"/>
    </row>
    <row r="18" spans="1:19" s="42" customFormat="1" ht="21.95" customHeight="1" x14ac:dyDescent="0.25">
      <c r="A18" s="121" t="s">
        <v>4</v>
      </c>
      <c r="B18" s="46" t="s">
        <v>14</v>
      </c>
      <c r="E18" s="43"/>
    </row>
    <row r="19" spans="1:19" s="51" customFormat="1" ht="21.95" customHeight="1" x14ac:dyDescent="0.25">
      <c r="A19" s="123"/>
      <c r="B19" s="47" t="s">
        <v>15</v>
      </c>
      <c r="C19" s="48">
        <v>79</v>
      </c>
      <c r="D19" s="363" t="s">
        <v>16</v>
      </c>
      <c r="E19" s="363"/>
      <c r="F19" s="49" t="s">
        <v>128</v>
      </c>
      <c r="G19" s="50"/>
      <c r="I19" s="50"/>
    </row>
    <row r="20" spans="1:19" s="51" customFormat="1" ht="21.95" customHeight="1" x14ac:dyDescent="0.25">
      <c r="A20" s="123"/>
      <c r="B20" s="47" t="s">
        <v>17</v>
      </c>
      <c r="C20" s="52">
        <v>97.3</v>
      </c>
      <c r="D20" s="50" t="s">
        <v>105</v>
      </c>
      <c r="E20" s="53"/>
      <c r="F20" s="54"/>
      <c r="H20" s="55"/>
      <c r="I20" s="50"/>
    </row>
    <row r="21" spans="1:19" s="51" customFormat="1" ht="21.95" customHeight="1" x14ac:dyDescent="0.25">
      <c r="A21" s="123"/>
      <c r="B21" s="56" t="s">
        <v>18</v>
      </c>
      <c r="C21" s="57"/>
      <c r="D21" s="50"/>
      <c r="E21" s="53"/>
      <c r="F21" s="50"/>
      <c r="H21" s="55"/>
      <c r="I21" s="50"/>
    </row>
    <row r="22" spans="1:19" s="51" customFormat="1" ht="21.95" customHeight="1" x14ac:dyDescent="0.25">
      <c r="A22" s="123"/>
      <c r="B22" s="47" t="s">
        <v>19</v>
      </c>
      <c r="C22" s="52">
        <v>59.1</v>
      </c>
      <c r="D22" s="50" t="s">
        <v>105</v>
      </c>
      <c r="E22" s="53"/>
      <c r="F22" s="50"/>
      <c r="H22" s="55"/>
      <c r="I22" s="50"/>
      <c r="J22" s="133"/>
    </row>
    <row r="23" spans="1:19" s="51" customFormat="1" ht="21.95" customHeight="1" x14ac:dyDescent="0.25">
      <c r="A23" s="123"/>
      <c r="B23" s="47" t="s">
        <v>20</v>
      </c>
      <c r="C23" s="57">
        <f>C20-C22</f>
        <v>38.199999999999996</v>
      </c>
      <c r="D23" s="50" t="s">
        <v>105</v>
      </c>
      <c r="E23" s="53"/>
      <c r="F23" s="50"/>
      <c r="H23" s="55"/>
      <c r="I23" s="50"/>
      <c r="J23" s="142"/>
    </row>
    <row r="24" spans="1:19" s="42" customFormat="1" ht="21.95" customHeight="1" x14ac:dyDescent="0.25">
      <c r="A24" s="122"/>
      <c r="B24" s="24" t="s">
        <v>21</v>
      </c>
      <c r="C24" s="362" t="s">
        <v>561</v>
      </c>
      <c r="D24" s="362"/>
      <c r="E24" s="362"/>
      <c r="F24" s="362"/>
      <c r="G24" s="362"/>
      <c r="H24" s="362"/>
      <c r="I24" s="362"/>
    </row>
    <row r="25" spans="1:19" s="36" customFormat="1" ht="225" customHeight="1" x14ac:dyDescent="0.25">
      <c r="A25" s="39">
        <v>2</v>
      </c>
      <c r="B25" s="58" t="s">
        <v>73</v>
      </c>
      <c r="C25" s="366" t="s">
        <v>584</v>
      </c>
      <c r="D25" s="367"/>
      <c r="E25" s="367"/>
      <c r="F25" s="367"/>
      <c r="G25" s="367"/>
      <c r="H25" s="367"/>
      <c r="I25" s="367"/>
      <c r="J25" s="133"/>
      <c r="K25" s="133"/>
      <c r="L25" s="59"/>
      <c r="M25" s="59"/>
      <c r="N25" s="59"/>
      <c r="O25" s="59"/>
      <c r="P25" s="59"/>
      <c r="Q25" s="59"/>
      <c r="R25" s="59"/>
      <c r="S25" s="59"/>
    </row>
    <row r="26" spans="1:19" s="36" customFormat="1" ht="21" customHeight="1" x14ac:dyDescent="0.25">
      <c r="A26" s="39">
        <v>3</v>
      </c>
      <c r="B26" s="364" t="s">
        <v>82</v>
      </c>
      <c r="C26" s="364"/>
      <c r="D26" s="364"/>
      <c r="E26" s="364"/>
      <c r="F26" s="364"/>
      <c r="G26" s="60"/>
      <c r="H26" s="149" t="s">
        <v>112</v>
      </c>
      <c r="I26" s="60" t="s">
        <v>55</v>
      </c>
      <c r="J26" s="59"/>
      <c r="K26" s="142"/>
      <c r="L26" s="59"/>
      <c r="M26" s="59"/>
      <c r="N26" s="59"/>
      <c r="O26" s="59"/>
      <c r="P26" s="59"/>
      <c r="Q26" s="59"/>
      <c r="R26" s="59"/>
      <c r="S26" s="59"/>
    </row>
    <row r="27" spans="1:19" s="36" customFormat="1" ht="23.25" customHeight="1" x14ac:dyDescent="0.25">
      <c r="A27" s="39">
        <v>4</v>
      </c>
      <c r="B27" s="364" t="s">
        <v>65</v>
      </c>
      <c r="C27" s="364"/>
      <c r="D27" s="364"/>
      <c r="E27" s="364"/>
      <c r="F27" s="364"/>
      <c r="G27" s="364"/>
      <c r="H27" s="148" t="s">
        <v>130</v>
      </c>
      <c r="I27" s="60" t="s">
        <v>84</v>
      </c>
      <c r="J27" s="59"/>
      <c r="K27" s="59"/>
      <c r="L27" s="59"/>
      <c r="M27" s="59"/>
      <c r="N27" s="59"/>
      <c r="O27" s="59"/>
      <c r="P27" s="59"/>
      <c r="Q27" s="59"/>
      <c r="R27" s="59"/>
      <c r="S27" s="59"/>
    </row>
    <row r="28" spans="1:19" s="41" customFormat="1" x14ac:dyDescent="0.25">
      <c r="A28" s="39" t="s">
        <v>88</v>
      </c>
      <c r="B28" s="364" t="s">
        <v>87</v>
      </c>
      <c r="C28" s="364"/>
      <c r="D28" s="364"/>
      <c r="E28" s="364"/>
      <c r="F28" s="364"/>
      <c r="G28" s="364"/>
      <c r="H28" s="364"/>
      <c r="I28" s="364"/>
    </row>
    <row r="29" spans="1:19" s="40" customFormat="1" ht="20.25" customHeight="1" x14ac:dyDescent="0.25">
      <c r="A29" s="39" t="s">
        <v>4</v>
      </c>
      <c r="B29" s="360" t="s">
        <v>24</v>
      </c>
      <c r="C29" s="360"/>
      <c r="D29" s="360"/>
      <c r="E29" s="360"/>
      <c r="F29" s="360"/>
      <c r="G29" s="360"/>
      <c r="H29" s="360"/>
      <c r="I29" s="360"/>
      <c r="J29" s="41"/>
      <c r="K29" s="41"/>
      <c r="L29" s="41"/>
      <c r="M29" s="41"/>
      <c r="N29" s="41"/>
      <c r="O29" s="41"/>
      <c r="P29" s="41"/>
      <c r="Q29" s="41"/>
      <c r="R29" s="41"/>
      <c r="S29" s="41"/>
    </row>
    <row r="30" spans="1:19" s="24" customFormat="1" ht="32.25" customHeight="1" x14ac:dyDescent="0.25">
      <c r="A30" s="351" t="s">
        <v>25</v>
      </c>
      <c r="B30" s="353" t="s">
        <v>26</v>
      </c>
      <c r="C30" s="354"/>
      <c r="D30" s="354"/>
      <c r="E30" s="354"/>
      <c r="F30" s="354"/>
      <c r="G30" s="354"/>
      <c r="H30" s="354"/>
      <c r="I30" s="355"/>
    </row>
    <row r="31" spans="1:19" s="25" customFormat="1" ht="49.5" x14ac:dyDescent="0.25">
      <c r="A31" s="352"/>
      <c r="B31" s="353" t="s">
        <v>27</v>
      </c>
      <c r="C31" s="355"/>
      <c r="D31" s="21" t="s">
        <v>28</v>
      </c>
      <c r="E31" s="22" t="s">
        <v>29</v>
      </c>
      <c r="F31" s="22" t="s">
        <v>30</v>
      </c>
      <c r="G31" s="21" t="s">
        <v>31</v>
      </c>
      <c r="H31" s="22" t="s">
        <v>104</v>
      </c>
      <c r="I31" s="22" t="s">
        <v>33</v>
      </c>
    </row>
    <row r="32" spans="1:19" s="62" customFormat="1" ht="18.75" customHeight="1" x14ac:dyDescent="0.25">
      <c r="A32" s="61">
        <v>1</v>
      </c>
      <c r="B32" s="356">
        <v>2</v>
      </c>
      <c r="C32" s="357"/>
      <c r="D32" s="61">
        <v>3</v>
      </c>
      <c r="E32" s="61">
        <v>4</v>
      </c>
      <c r="F32" s="61">
        <v>5</v>
      </c>
      <c r="G32" s="61">
        <v>6</v>
      </c>
      <c r="H32" s="61">
        <v>7</v>
      </c>
      <c r="I32" s="61">
        <v>8</v>
      </c>
    </row>
    <row r="33" spans="1:9" s="68" customFormat="1" ht="39" customHeight="1" x14ac:dyDescent="0.25">
      <c r="A33" s="63">
        <v>1</v>
      </c>
      <c r="B33" s="358" t="s">
        <v>563</v>
      </c>
      <c r="C33" s="359"/>
      <c r="D33" s="64" t="s">
        <v>106</v>
      </c>
      <c r="E33" s="65">
        <f>C22</f>
        <v>59.1</v>
      </c>
      <c r="F33" s="63"/>
      <c r="G33" s="66"/>
      <c r="H33" s="166">
        <f>E33*F33*G33</f>
        <v>0</v>
      </c>
      <c r="I33" s="67"/>
    </row>
    <row r="34" spans="1:9" s="71" customFormat="1" ht="30.75" customHeight="1" x14ac:dyDescent="0.25">
      <c r="A34" s="69"/>
      <c r="B34" s="349" t="s">
        <v>34</v>
      </c>
      <c r="C34" s="350"/>
      <c r="D34" s="69"/>
      <c r="E34" s="69"/>
      <c r="F34" s="69"/>
      <c r="G34" s="69"/>
      <c r="H34" s="169">
        <f>SUM(H33:H33)</f>
        <v>0</v>
      </c>
      <c r="I34" s="69"/>
    </row>
    <row r="35" spans="1:9" ht="5.25" customHeight="1" x14ac:dyDescent="0.25">
      <c r="A35" s="77"/>
      <c r="B35" s="72"/>
      <c r="C35" s="72"/>
      <c r="D35" s="73"/>
      <c r="E35" s="73"/>
      <c r="F35" s="73"/>
      <c r="G35" s="73"/>
      <c r="H35" s="73"/>
      <c r="I35" s="73"/>
    </row>
    <row r="36" spans="1:9" ht="21" customHeight="1" x14ac:dyDescent="0.25">
      <c r="A36" s="75" t="s">
        <v>9</v>
      </c>
      <c r="B36" s="360" t="s">
        <v>35</v>
      </c>
      <c r="C36" s="360"/>
      <c r="D36" s="360"/>
      <c r="E36" s="360"/>
      <c r="F36" s="360"/>
      <c r="G36" s="360"/>
      <c r="H36" s="360"/>
      <c r="I36" s="360"/>
    </row>
    <row r="37" spans="1:9" s="23" customFormat="1" ht="49.5" x14ac:dyDescent="0.25">
      <c r="A37" s="29" t="s">
        <v>25</v>
      </c>
      <c r="B37" s="353" t="s">
        <v>27</v>
      </c>
      <c r="C37" s="355"/>
      <c r="D37" s="21" t="s">
        <v>28</v>
      </c>
      <c r="E37" s="22" t="s">
        <v>29</v>
      </c>
      <c r="F37" s="22" t="s">
        <v>30</v>
      </c>
      <c r="G37" s="21" t="s">
        <v>31</v>
      </c>
      <c r="H37" s="22" t="s">
        <v>32</v>
      </c>
      <c r="I37" s="22" t="s">
        <v>33</v>
      </c>
    </row>
    <row r="38" spans="1:9" s="62" customFormat="1" ht="18" customHeight="1" x14ac:dyDescent="0.25">
      <c r="A38" s="61">
        <v>1</v>
      </c>
      <c r="B38" s="356">
        <v>2</v>
      </c>
      <c r="C38" s="357"/>
      <c r="D38" s="61">
        <v>3</v>
      </c>
      <c r="E38" s="61">
        <v>4</v>
      </c>
      <c r="F38" s="61">
        <v>5</v>
      </c>
      <c r="G38" s="61">
        <v>6</v>
      </c>
      <c r="H38" s="61">
        <v>7</v>
      </c>
      <c r="I38" s="61">
        <v>8</v>
      </c>
    </row>
    <row r="39" spans="1:9" ht="37.5" customHeight="1" x14ac:dyDescent="0.25">
      <c r="A39" s="26">
        <v>1</v>
      </c>
      <c r="B39" s="353"/>
      <c r="C39" s="355"/>
      <c r="D39" s="27"/>
      <c r="E39" s="22"/>
      <c r="F39" s="27"/>
      <c r="G39" s="27"/>
      <c r="H39" s="27"/>
      <c r="I39" s="26" t="s">
        <v>36</v>
      </c>
    </row>
    <row r="40" spans="1:9" s="71" customFormat="1" ht="25.5" customHeight="1" x14ac:dyDescent="0.25">
      <c r="A40" s="69"/>
      <c r="B40" s="349" t="s">
        <v>34</v>
      </c>
      <c r="C40" s="350"/>
      <c r="D40" s="74"/>
      <c r="E40" s="69"/>
      <c r="F40" s="74"/>
      <c r="G40" s="74"/>
      <c r="H40" s="74"/>
      <c r="I40" s="69"/>
    </row>
    <row r="41" spans="1:9" x14ac:dyDescent="0.25">
      <c r="A41" s="124"/>
      <c r="B41" s="75"/>
      <c r="C41" s="75"/>
      <c r="D41" s="76"/>
      <c r="E41" s="75"/>
      <c r="F41" s="76"/>
      <c r="G41" s="76"/>
      <c r="H41" s="76"/>
      <c r="I41" s="75"/>
    </row>
    <row r="42" spans="1:9" x14ac:dyDescent="0.25">
      <c r="A42" s="324"/>
      <c r="B42" s="327" t="s">
        <v>37</v>
      </c>
      <c r="C42" s="328"/>
      <c r="D42" s="328"/>
      <c r="E42" s="328"/>
      <c r="F42" s="328"/>
      <c r="G42" s="329"/>
      <c r="H42" s="27"/>
      <c r="I42" s="26" t="s">
        <v>74</v>
      </c>
    </row>
    <row r="43" spans="1:9" x14ac:dyDescent="0.25">
      <c r="A43" s="325"/>
      <c r="B43" s="330" t="s">
        <v>38</v>
      </c>
      <c r="C43" s="331"/>
      <c r="D43" s="331"/>
      <c r="E43" s="331"/>
      <c r="F43" s="331"/>
      <c r="G43" s="332"/>
      <c r="H43" s="27"/>
      <c r="I43" s="26" t="s">
        <v>74</v>
      </c>
    </row>
    <row r="44" spans="1:9" x14ac:dyDescent="0.25">
      <c r="A44" s="326"/>
      <c r="B44" s="333" t="s">
        <v>39</v>
      </c>
      <c r="C44" s="334"/>
      <c r="D44" s="334"/>
      <c r="E44" s="334"/>
      <c r="F44" s="334"/>
      <c r="G44" s="335"/>
      <c r="H44" s="27"/>
      <c r="I44" s="26" t="s">
        <v>74</v>
      </c>
    </row>
    <row r="45" spans="1:9" ht="6.75" customHeight="1" x14ac:dyDescent="0.25">
      <c r="A45" s="77"/>
      <c r="B45" s="72"/>
      <c r="C45" s="72"/>
      <c r="D45" s="72"/>
      <c r="E45" s="78"/>
      <c r="F45" s="72"/>
      <c r="G45" s="72"/>
      <c r="H45" s="79"/>
      <c r="I45" s="79"/>
    </row>
    <row r="46" spans="1:9" ht="21" customHeight="1" x14ac:dyDescent="0.25">
      <c r="A46" s="125" t="s">
        <v>22</v>
      </c>
      <c r="B46" s="376" t="s">
        <v>40</v>
      </c>
      <c r="C46" s="376"/>
      <c r="D46" s="376"/>
      <c r="E46" s="376"/>
      <c r="F46" s="376"/>
      <c r="G46" s="376"/>
      <c r="H46" s="80"/>
      <c r="I46" s="81"/>
    </row>
    <row r="47" spans="1:9" s="30" customFormat="1" ht="49.5" x14ac:dyDescent="0.25">
      <c r="A47" s="21" t="s">
        <v>25</v>
      </c>
      <c r="B47" s="21" t="s">
        <v>41</v>
      </c>
      <c r="C47" s="21" t="s">
        <v>28</v>
      </c>
      <c r="D47" s="21" t="s">
        <v>42</v>
      </c>
      <c r="E47" s="21" t="s">
        <v>43</v>
      </c>
      <c r="F47" s="22" t="s">
        <v>30</v>
      </c>
      <c r="G47" s="21" t="s">
        <v>31</v>
      </c>
      <c r="H47" s="21" t="s">
        <v>45</v>
      </c>
      <c r="I47" s="21" t="s">
        <v>33</v>
      </c>
    </row>
    <row r="48" spans="1:9" s="83" customFormat="1" ht="18" customHeight="1" x14ac:dyDescent="0.25">
      <c r="A48" s="82">
        <v>1</v>
      </c>
      <c r="B48" s="82">
        <v>2</v>
      </c>
      <c r="C48" s="82">
        <v>3</v>
      </c>
      <c r="D48" s="82">
        <v>4</v>
      </c>
      <c r="E48" s="82">
        <v>5</v>
      </c>
      <c r="F48" s="82">
        <v>6</v>
      </c>
      <c r="G48" s="82">
        <v>7</v>
      </c>
      <c r="H48" s="82">
        <v>8</v>
      </c>
      <c r="I48" s="82">
        <v>9</v>
      </c>
    </row>
    <row r="49" spans="1:12" s="89" customFormat="1" ht="30" customHeight="1" x14ac:dyDescent="0.25">
      <c r="A49" s="21" t="s">
        <v>46</v>
      </c>
      <c r="B49" s="84" t="s">
        <v>47</v>
      </c>
      <c r="C49" s="85"/>
      <c r="D49" s="85"/>
      <c r="E49" s="86"/>
      <c r="F49" s="85"/>
      <c r="G49" s="85"/>
      <c r="H49" s="167">
        <f>SUM(H50:H56)</f>
        <v>0</v>
      </c>
      <c r="I49" s="88"/>
    </row>
    <row r="50" spans="1:12" s="89" customFormat="1" ht="25.15" customHeight="1" x14ac:dyDescent="0.25">
      <c r="A50" s="90">
        <v>1</v>
      </c>
      <c r="B50" s="91" t="s">
        <v>90</v>
      </c>
      <c r="C50" s="64" t="s">
        <v>106</v>
      </c>
      <c r="D50" s="90" t="s">
        <v>353</v>
      </c>
      <c r="E50" s="92">
        <f>4.47*9</f>
        <v>40.229999999999997</v>
      </c>
      <c r="F50" s="93"/>
      <c r="G50" s="93"/>
      <c r="H50" s="159"/>
      <c r="I50" s="347" t="s">
        <v>110</v>
      </c>
    </row>
    <row r="51" spans="1:12" s="89" customFormat="1" ht="25.15" customHeight="1" x14ac:dyDescent="0.25">
      <c r="A51" s="90">
        <v>2</v>
      </c>
      <c r="B51" s="91" t="s">
        <v>96</v>
      </c>
      <c r="C51" s="64" t="s">
        <v>106</v>
      </c>
      <c r="D51" s="90" t="s">
        <v>354</v>
      </c>
      <c r="E51" s="92">
        <f>4.47*3.5</f>
        <v>15.645</v>
      </c>
      <c r="F51" s="93"/>
      <c r="G51" s="93"/>
      <c r="H51" s="159"/>
      <c r="I51" s="348"/>
    </row>
    <row r="52" spans="1:12" s="89" customFormat="1" ht="83.45" customHeight="1" x14ac:dyDescent="0.25">
      <c r="A52" s="90">
        <v>3</v>
      </c>
      <c r="B52" s="91" t="s">
        <v>355</v>
      </c>
      <c r="C52" s="64" t="s">
        <v>106</v>
      </c>
      <c r="D52" s="90" t="s">
        <v>356</v>
      </c>
      <c r="E52" s="231">
        <f>13.47*4.47</f>
        <v>60.210900000000002</v>
      </c>
      <c r="F52" s="93"/>
      <c r="G52" s="93"/>
      <c r="H52" s="159"/>
      <c r="I52" s="348"/>
    </row>
    <row r="53" spans="1:12" s="89" customFormat="1" ht="36" customHeight="1" x14ac:dyDescent="0.25">
      <c r="A53" s="90"/>
      <c r="B53" s="132" t="s">
        <v>109</v>
      </c>
      <c r="C53" s="64" t="s">
        <v>106</v>
      </c>
      <c r="D53" s="96" t="s">
        <v>357</v>
      </c>
      <c r="E53" s="92">
        <f>C22</f>
        <v>59.1</v>
      </c>
      <c r="F53" s="93"/>
      <c r="G53" s="93"/>
      <c r="H53" s="159"/>
      <c r="I53" s="348"/>
    </row>
    <row r="54" spans="1:12" s="89" customFormat="1" ht="36" customHeight="1" x14ac:dyDescent="0.25">
      <c r="A54" s="90"/>
      <c r="B54" s="132" t="s">
        <v>120</v>
      </c>
      <c r="C54" s="64" t="s">
        <v>106</v>
      </c>
      <c r="D54" s="96" t="s">
        <v>411</v>
      </c>
      <c r="E54" s="92">
        <f>E52-E53</f>
        <v>1.1109000000000009</v>
      </c>
      <c r="F54" s="93"/>
      <c r="G54" s="93"/>
      <c r="H54" s="159"/>
      <c r="I54" s="348"/>
    </row>
    <row r="55" spans="1:12" s="89" customFormat="1" ht="25.5" customHeight="1" x14ac:dyDescent="0.25">
      <c r="A55" s="90" t="s">
        <v>131</v>
      </c>
      <c r="B55" s="132" t="s">
        <v>222</v>
      </c>
      <c r="C55" s="64" t="s">
        <v>106</v>
      </c>
      <c r="D55" s="96" t="s">
        <v>358</v>
      </c>
      <c r="E55" s="92">
        <f>3.2*4.47</f>
        <v>14.304</v>
      </c>
      <c r="F55" s="93"/>
      <c r="G55" s="93"/>
      <c r="H55" s="159"/>
      <c r="I55" s="348"/>
    </row>
    <row r="56" spans="1:12" s="89" customFormat="1" ht="22.5" customHeight="1" x14ac:dyDescent="0.25">
      <c r="A56" s="90">
        <v>4</v>
      </c>
      <c r="B56" s="132" t="s">
        <v>164</v>
      </c>
      <c r="C56" s="64" t="s">
        <v>92</v>
      </c>
      <c r="D56" s="96" t="s">
        <v>437</v>
      </c>
      <c r="E56" s="92">
        <v>13.5</v>
      </c>
      <c r="F56" s="93"/>
      <c r="G56" s="93"/>
      <c r="H56" s="159"/>
      <c r="I56" s="348"/>
    </row>
    <row r="57" spans="1:12" s="89" customFormat="1" ht="25.5" customHeight="1" x14ac:dyDescent="0.25">
      <c r="A57" s="21" t="s">
        <v>48</v>
      </c>
      <c r="B57" s="84" t="s">
        <v>49</v>
      </c>
      <c r="C57" s="85"/>
      <c r="D57" s="85"/>
      <c r="E57" s="92"/>
      <c r="F57" s="85"/>
      <c r="G57" s="85"/>
      <c r="H57" s="167">
        <f>SUM(H58:H58)</f>
        <v>0</v>
      </c>
      <c r="I57" s="95"/>
    </row>
    <row r="58" spans="1:12" s="89" customFormat="1" ht="27" customHeight="1" x14ac:dyDescent="0.25">
      <c r="A58" s="90"/>
      <c r="B58" s="186"/>
      <c r="C58" s="200"/>
      <c r="D58" s="90"/>
      <c r="E58" s="92"/>
      <c r="F58" s="85"/>
      <c r="G58" s="85"/>
      <c r="H58" s="201"/>
      <c r="I58" s="156"/>
    </row>
    <row r="59" spans="1:12" s="102" customFormat="1" ht="31.5" customHeight="1" x14ac:dyDescent="0.25">
      <c r="A59" s="126"/>
      <c r="B59" s="100" t="s">
        <v>50</v>
      </c>
      <c r="C59" s="100"/>
      <c r="D59" s="100"/>
      <c r="E59" s="100"/>
      <c r="F59" s="100"/>
      <c r="G59" s="100"/>
      <c r="H59" s="158">
        <f>H49+H57</f>
        <v>0</v>
      </c>
      <c r="I59" s="101"/>
    </row>
    <row r="60" spans="1:12" ht="22.5" customHeight="1" x14ac:dyDescent="0.25">
      <c r="A60" s="127">
        <v>4</v>
      </c>
      <c r="B60" s="337" t="s">
        <v>51</v>
      </c>
      <c r="C60" s="337"/>
      <c r="D60" s="337"/>
      <c r="E60" s="337"/>
      <c r="F60" s="337"/>
      <c r="G60" s="337"/>
      <c r="H60" s="51"/>
      <c r="I60" s="51"/>
    </row>
    <row r="61" spans="1:12" s="104" customFormat="1" ht="49.5" x14ac:dyDescent="0.25">
      <c r="A61" s="103" t="s">
        <v>25</v>
      </c>
      <c r="B61" s="338" t="s">
        <v>52</v>
      </c>
      <c r="C61" s="339"/>
      <c r="D61" s="21" t="s">
        <v>29</v>
      </c>
      <c r="E61" s="21" t="s">
        <v>53</v>
      </c>
      <c r="F61" s="21" t="s">
        <v>44</v>
      </c>
      <c r="G61" s="21" t="s">
        <v>54</v>
      </c>
      <c r="H61" s="21" t="s">
        <v>45</v>
      </c>
      <c r="I61" s="21" t="s">
        <v>33</v>
      </c>
    </row>
    <row r="62" spans="1:12" ht="28.5" customHeight="1" x14ac:dyDescent="0.25">
      <c r="A62" s="105"/>
      <c r="B62" s="340"/>
      <c r="C62" s="341"/>
      <c r="D62" s="106"/>
      <c r="E62" s="105"/>
      <c r="F62" s="107"/>
      <c r="G62" s="108"/>
      <c r="H62" s="108"/>
      <c r="I62" s="109"/>
      <c r="L62" s="110"/>
    </row>
    <row r="63" spans="1:12" s="112" customFormat="1" ht="27.75" customHeight="1" x14ac:dyDescent="0.25">
      <c r="A63" s="126"/>
      <c r="B63" s="342" t="s">
        <v>34</v>
      </c>
      <c r="C63" s="343"/>
      <c r="D63" s="100"/>
      <c r="E63" s="100"/>
      <c r="F63" s="100"/>
      <c r="G63" s="100"/>
      <c r="H63" s="163">
        <f>SUM(H62)</f>
        <v>0</v>
      </c>
      <c r="I63" s="111"/>
      <c r="L63" s="113"/>
    </row>
    <row r="64" spans="1:12" s="115" customFormat="1" ht="27.75" customHeight="1" x14ac:dyDescent="0.25">
      <c r="A64" s="128">
        <v>5</v>
      </c>
      <c r="B64" s="344" t="s">
        <v>56</v>
      </c>
      <c r="C64" s="344"/>
      <c r="D64" s="344"/>
      <c r="E64" s="344"/>
      <c r="F64" s="344"/>
      <c r="G64" s="345"/>
      <c r="H64" s="164">
        <f>H63+H59+H40+H34</f>
        <v>0</v>
      </c>
      <c r="I64" s="114" t="s">
        <v>57</v>
      </c>
    </row>
    <row r="65" spans="1:9" s="117" customFormat="1" ht="17.25" x14ac:dyDescent="0.25">
      <c r="A65" s="129"/>
      <c r="B65" s="116" t="s">
        <v>78</v>
      </c>
      <c r="C65" s="346" t="s">
        <v>91</v>
      </c>
      <c r="D65" s="346"/>
      <c r="E65" s="346"/>
      <c r="F65" s="346"/>
      <c r="G65" s="346"/>
      <c r="H65" s="346"/>
      <c r="I65" s="346"/>
    </row>
    <row r="66" spans="1:9" s="41" customFormat="1" ht="17.25" hidden="1" x14ac:dyDescent="0.3">
      <c r="A66" s="39"/>
      <c r="B66" s="118"/>
      <c r="E66" s="119"/>
      <c r="F66" s="316" t="s">
        <v>75</v>
      </c>
      <c r="G66" s="316"/>
      <c r="H66" s="316"/>
      <c r="I66" s="316"/>
    </row>
    <row r="67" spans="1:9" hidden="1" x14ac:dyDescent="0.25">
      <c r="F67" s="316" t="s">
        <v>76</v>
      </c>
      <c r="G67" s="316"/>
      <c r="H67" s="316"/>
      <c r="I67" s="316"/>
    </row>
    <row r="68" spans="1:9" hidden="1" x14ac:dyDescent="0.25">
      <c r="F68" s="317"/>
      <c r="G68" s="317"/>
      <c r="H68" s="317"/>
      <c r="I68" s="317"/>
    </row>
    <row r="69" spans="1:9" hidden="1" x14ac:dyDescent="0.25"/>
    <row r="70" spans="1:9" hidden="1" x14ac:dyDescent="0.25"/>
    <row r="71" spans="1:9" hidden="1" x14ac:dyDescent="0.25"/>
    <row r="72" spans="1:9" hidden="1" x14ac:dyDescent="0.25"/>
    <row r="73" spans="1:9" hidden="1" x14ac:dyDescent="0.25"/>
    <row r="74" spans="1:9" hidden="1" x14ac:dyDescent="0.25">
      <c r="F74" s="318" t="s">
        <v>77</v>
      </c>
      <c r="G74" s="318"/>
      <c r="H74" s="318"/>
      <c r="I74" s="318"/>
    </row>
    <row r="75" spans="1:9" ht="65.25" customHeight="1" x14ac:dyDescent="0.25">
      <c r="A75" s="319" t="s">
        <v>100</v>
      </c>
      <c r="B75" s="319"/>
      <c r="C75" s="319"/>
      <c r="D75" s="319"/>
      <c r="E75" s="319"/>
      <c r="F75" s="319"/>
      <c r="G75" s="319"/>
      <c r="H75" s="319"/>
      <c r="I75" s="319"/>
    </row>
    <row r="76" spans="1:9" x14ac:dyDescent="0.25">
      <c r="A76" s="315" t="s">
        <v>102</v>
      </c>
      <c r="B76" s="315"/>
      <c r="C76" s="315"/>
      <c r="D76" s="315"/>
      <c r="E76" s="315"/>
      <c r="F76" s="315"/>
      <c r="G76" s="315"/>
      <c r="H76" s="315"/>
      <c r="I76" s="315"/>
    </row>
    <row r="77" spans="1:9" x14ac:dyDescent="0.25">
      <c r="A77" s="320" t="s">
        <v>107</v>
      </c>
      <c r="B77" s="320"/>
      <c r="C77" s="320"/>
      <c r="D77" s="321"/>
      <c r="E77" s="322" t="s">
        <v>108</v>
      </c>
      <c r="F77" s="323"/>
      <c r="G77" s="323"/>
      <c r="H77" s="323"/>
      <c r="I77" s="323"/>
    </row>
    <row r="78" spans="1:9" x14ac:dyDescent="0.25">
      <c r="A78" s="320"/>
      <c r="B78" s="320"/>
      <c r="C78" s="320"/>
      <c r="D78" s="321"/>
      <c r="E78" s="322"/>
      <c r="F78" s="323"/>
      <c r="G78" s="323"/>
      <c r="H78" s="323"/>
      <c r="I78" s="323"/>
    </row>
    <row r="79" spans="1:9" x14ac:dyDescent="0.25">
      <c r="A79" s="320"/>
      <c r="B79" s="320"/>
      <c r="C79" s="320"/>
      <c r="D79" s="321"/>
      <c r="E79" s="38"/>
      <c r="I79" s="20"/>
    </row>
    <row r="80" spans="1:9" x14ac:dyDescent="0.25">
      <c r="A80" s="315" t="s">
        <v>101</v>
      </c>
      <c r="B80" s="315"/>
      <c r="C80" s="315"/>
      <c r="D80" s="315"/>
      <c r="E80" s="315"/>
      <c r="F80" s="315"/>
      <c r="G80" s="315"/>
      <c r="H80" s="315"/>
      <c r="I80" s="315"/>
    </row>
  </sheetData>
  <mergeCells count="57">
    <mergeCell ref="A75:I75"/>
    <mergeCell ref="A76:I76"/>
    <mergeCell ref="A77:D79"/>
    <mergeCell ref="E77:I78"/>
    <mergeCell ref="A80:I80"/>
    <mergeCell ref="F68:I68"/>
    <mergeCell ref="F74:I74"/>
    <mergeCell ref="B46:G46"/>
    <mergeCell ref="I50:I56"/>
    <mergeCell ref="B60:G60"/>
    <mergeCell ref="B61:C61"/>
    <mergeCell ref="B62:C62"/>
    <mergeCell ref="B63:C63"/>
    <mergeCell ref="B64:G64"/>
    <mergeCell ref="C65:I65"/>
    <mergeCell ref="F66:I66"/>
    <mergeCell ref="F67:I67"/>
    <mergeCell ref="B39:C39"/>
    <mergeCell ref="B40:C40"/>
    <mergeCell ref="A42:A44"/>
    <mergeCell ref="B42:G42"/>
    <mergeCell ref="B43:G43"/>
    <mergeCell ref="B44:G44"/>
    <mergeCell ref="B38:C38"/>
    <mergeCell ref="B27:G27"/>
    <mergeCell ref="B28:I28"/>
    <mergeCell ref="B29:I29"/>
    <mergeCell ref="A30:A31"/>
    <mergeCell ref="B30:I30"/>
    <mergeCell ref="B31:C31"/>
    <mergeCell ref="B32:C32"/>
    <mergeCell ref="B33:C33"/>
    <mergeCell ref="B34:C34"/>
    <mergeCell ref="B36:I36"/>
    <mergeCell ref="B37:C37"/>
    <mergeCell ref="B26:F26"/>
    <mergeCell ref="C10:I10"/>
    <mergeCell ref="C11:I11"/>
    <mergeCell ref="F13:I13"/>
    <mergeCell ref="C14:I14"/>
    <mergeCell ref="C15:I15"/>
    <mergeCell ref="B17:I17"/>
    <mergeCell ref="D19:E19"/>
    <mergeCell ref="C24:I24"/>
    <mergeCell ref="C25:I25"/>
    <mergeCell ref="A5:I5"/>
    <mergeCell ref="A6:I6"/>
    <mergeCell ref="A7:I7"/>
    <mergeCell ref="B8:I8"/>
    <mergeCell ref="B9:E9"/>
    <mergeCell ref="F9:I9"/>
    <mergeCell ref="A1:D1"/>
    <mergeCell ref="E1:I1"/>
    <mergeCell ref="A2:D2"/>
    <mergeCell ref="E2:I2"/>
    <mergeCell ref="A4:C4"/>
    <mergeCell ref="E4:I4"/>
  </mergeCells>
  <pageMargins left="0.11811023622047245" right="0.11811023622047245" top="0.19685039370078741" bottom="0.15748031496062992" header="0.19685039370078741" footer="0.15748031496062992"/>
  <pageSetup paperSize="9" scale="80" orientation="portrait" r:id="rId1"/>
  <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79"/>
  <sheetViews>
    <sheetView topLeftCell="A28" workbookViewId="0">
      <selection activeCell="B33" sqref="B33:C33"/>
    </sheetView>
  </sheetViews>
  <sheetFormatPr defaultColWidth="9.140625" defaultRowHeight="16.5" x14ac:dyDescent="0.25"/>
  <cols>
    <col min="1" max="1" width="4.28515625" style="68" customWidth="1"/>
    <col min="2" max="2" width="27.85546875" style="20" customWidth="1"/>
    <col min="3" max="3" width="8.7109375" style="20" customWidth="1"/>
    <col min="4" max="4" width="20.28515625" style="20" customWidth="1"/>
    <col min="5" max="5" width="11" style="23" customWidth="1"/>
    <col min="6" max="6" width="11.85546875" style="20" customWidth="1"/>
    <col min="7" max="7" width="10.28515625" style="20" customWidth="1"/>
    <col min="8" max="8" width="13.7109375" style="20" customWidth="1"/>
    <col min="9" max="9" width="14.140625" style="120" customWidth="1"/>
    <col min="10" max="11" width="9.140625" style="20"/>
    <col min="12" max="12" width="11.42578125" style="20" customWidth="1"/>
    <col min="13" max="16384" width="9.140625" style="20"/>
  </cols>
  <sheetData>
    <row r="1" spans="1:17" s="36" customFormat="1" x14ac:dyDescent="0.25">
      <c r="A1" s="368" t="s">
        <v>98</v>
      </c>
      <c r="B1" s="368"/>
      <c r="C1" s="368"/>
      <c r="D1" s="368"/>
      <c r="E1" s="368" t="s">
        <v>0</v>
      </c>
      <c r="F1" s="368"/>
      <c r="G1" s="368"/>
      <c r="H1" s="368"/>
      <c r="I1" s="368"/>
    </row>
    <row r="2" spans="1:17" s="36" customFormat="1" x14ac:dyDescent="0.25">
      <c r="A2" s="369" t="s">
        <v>99</v>
      </c>
      <c r="B2" s="369"/>
      <c r="C2" s="369"/>
      <c r="D2" s="369"/>
      <c r="E2" s="369" t="s">
        <v>1</v>
      </c>
      <c r="F2" s="368"/>
      <c r="G2" s="368"/>
      <c r="H2" s="368"/>
      <c r="I2" s="368"/>
    </row>
    <row r="3" spans="1:17" s="36" customFormat="1" ht="20.25" customHeight="1" x14ac:dyDescent="0.25">
      <c r="A3" s="39"/>
      <c r="C3" s="39"/>
      <c r="D3" s="39"/>
      <c r="E3" s="39"/>
      <c r="F3" s="39"/>
      <c r="G3" s="39"/>
      <c r="H3" s="39"/>
      <c r="I3" s="37"/>
    </row>
    <row r="4" spans="1:17" s="36" customFormat="1" ht="29.25" customHeight="1" x14ac:dyDescent="0.25">
      <c r="A4" s="369" t="s">
        <v>89</v>
      </c>
      <c r="B4" s="369"/>
      <c r="C4" s="369"/>
      <c r="E4" s="370" t="s">
        <v>185</v>
      </c>
      <c r="F4" s="370"/>
      <c r="G4" s="370"/>
      <c r="H4" s="370"/>
      <c r="I4" s="370"/>
    </row>
    <row r="5" spans="1:17" s="40" customFormat="1" ht="23.25" customHeight="1" x14ac:dyDescent="0.25">
      <c r="A5" s="371" t="s">
        <v>85</v>
      </c>
      <c r="B5" s="371"/>
      <c r="C5" s="371"/>
      <c r="D5" s="371"/>
      <c r="E5" s="371"/>
      <c r="F5" s="371"/>
      <c r="G5" s="371"/>
      <c r="H5" s="371"/>
      <c r="I5" s="371"/>
    </row>
    <row r="6" spans="1:17" s="40" customFormat="1" ht="34.9" customHeight="1" x14ac:dyDescent="0.25">
      <c r="A6" s="372" t="s">
        <v>86</v>
      </c>
      <c r="B6" s="372"/>
      <c r="C6" s="372"/>
      <c r="D6" s="372"/>
      <c r="E6" s="372"/>
      <c r="F6" s="372"/>
      <c r="G6" s="372"/>
      <c r="H6" s="372"/>
      <c r="I6" s="372"/>
      <c r="Q6" s="41"/>
    </row>
    <row r="7" spans="1:17" s="40" customFormat="1" ht="30.6" customHeight="1" x14ac:dyDescent="0.25">
      <c r="A7" s="373" t="s">
        <v>166</v>
      </c>
      <c r="B7" s="373"/>
      <c r="C7" s="373"/>
      <c r="D7" s="373"/>
      <c r="E7" s="373"/>
      <c r="F7" s="373"/>
      <c r="G7" s="373"/>
      <c r="H7" s="373"/>
      <c r="I7" s="373"/>
    </row>
    <row r="8" spans="1:17" s="42" customFormat="1" ht="19.899999999999999" customHeight="1" x14ac:dyDescent="0.25">
      <c r="A8" s="121" t="s">
        <v>2</v>
      </c>
      <c r="B8" s="362" t="s">
        <v>3</v>
      </c>
      <c r="C8" s="362"/>
      <c r="D8" s="362"/>
      <c r="E8" s="362"/>
      <c r="F8" s="362"/>
      <c r="G8" s="362"/>
      <c r="H8" s="362"/>
      <c r="I8" s="362"/>
    </row>
    <row r="9" spans="1:17" s="42" customFormat="1" ht="19.899999999999999" customHeight="1" x14ac:dyDescent="0.25">
      <c r="A9" s="121" t="s">
        <v>4</v>
      </c>
      <c r="B9" s="374" t="s">
        <v>5</v>
      </c>
      <c r="C9" s="374"/>
      <c r="D9" s="374"/>
      <c r="E9" s="374"/>
      <c r="F9" s="365" t="s">
        <v>557</v>
      </c>
      <c r="G9" s="365"/>
      <c r="H9" s="365"/>
      <c r="I9" s="365"/>
    </row>
    <row r="10" spans="1:17" s="42" customFormat="1" ht="19.899999999999999" customHeight="1" x14ac:dyDescent="0.25">
      <c r="A10" s="122"/>
      <c r="B10" s="24" t="s">
        <v>6</v>
      </c>
      <c r="C10" s="365" t="s">
        <v>543</v>
      </c>
      <c r="D10" s="365"/>
      <c r="E10" s="365"/>
      <c r="F10" s="365"/>
      <c r="G10" s="365"/>
      <c r="H10" s="365"/>
      <c r="I10" s="365"/>
    </row>
    <row r="11" spans="1:17" s="42" customFormat="1" ht="19.899999999999999" customHeight="1" x14ac:dyDescent="0.25">
      <c r="A11" s="122"/>
      <c r="B11" s="24" t="s">
        <v>7</v>
      </c>
      <c r="C11" s="365" t="s">
        <v>543</v>
      </c>
      <c r="D11" s="365"/>
      <c r="E11" s="365"/>
      <c r="F11" s="365"/>
      <c r="G11" s="365"/>
      <c r="H11" s="365"/>
      <c r="I11" s="365"/>
    </row>
    <row r="12" spans="1:17" s="42" customFormat="1" ht="19.899999999999999" customHeight="1" x14ac:dyDescent="0.25">
      <c r="A12" s="122"/>
      <c r="B12" s="24" t="s">
        <v>11</v>
      </c>
      <c r="C12" s="233"/>
      <c r="D12" s="233"/>
      <c r="E12" s="233"/>
      <c r="F12" s="43"/>
      <c r="G12" s="43"/>
      <c r="H12" s="43"/>
      <c r="I12" s="43"/>
    </row>
    <row r="13" spans="1:17" s="42" customFormat="1" ht="19.899999999999999" customHeight="1" x14ac:dyDescent="0.25">
      <c r="A13" s="121" t="s">
        <v>9</v>
      </c>
      <c r="B13" s="44" t="s">
        <v>10</v>
      </c>
      <c r="E13" s="43"/>
      <c r="F13" s="362" t="str">
        <f>F9</f>
        <v>Lê Tiến Nguyên - Dương Thị Bích Thuỷ</v>
      </c>
      <c r="G13" s="362"/>
      <c r="H13" s="362"/>
      <c r="I13" s="362"/>
      <c r="J13" s="143"/>
    </row>
    <row r="14" spans="1:17" s="42" customFormat="1" ht="19.899999999999999" customHeight="1" x14ac:dyDescent="0.25">
      <c r="A14" s="122"/>
      <c r="B14" s="24" t="s">
        <v>6</v>
      </c>
      <c r="C14" s="365" t="str">
        <f>+C10</f>
        <v>Số 49 ngõ 15 An Dương Vương - phường Tây Hồ - TP Hà Nội</v>
      </c>
      <c r="D14" s="365"/>
      <c r="E14" s="365"/>
      <c r="F14" s="365"/>
      <c r="G14" s="365"/>
      <c r="H14" s="365"/>
      <c r="I14" s="365"/>
    </row>
    <row r="15" spans="1:17" s="42" customFormat="1" ht="19.899999999999999" customHeight="1" x14ac:dyDescent="0.25">
      <c r="A15" s="122"/>
      <c r="B15" s="24" t="s">
        <v>7</v>
      </c>
      <c r="C15" s="365" t="str">
        <f>C11</f>
        <v>Số 49 ngõ 15 An Dương Vương - phường Tây Hồ - TP Hà Nội</v>
      </c>
      <c r="D15" s="365"/>
      <c r="E15" s="365"/>
      <c r="F15" s="365"/>
      <c r="G15" s="365"/>
      <c r="H15" s="365"/>
      <c r="I15" s="365"/>
    </row>
    <row r="16" spans="1:17" s="42" customFormat="1" ht="19.899999999999999" customHeight="1" x14ac:dyDescent="0.25">
      <c r="A16" s="122"/>
      <c r="B16" s="24" t="s">
        <v>11</v>
      </c>
      <c r="C16" s="233">
        <f>+C12</f>
        <v>0</v>
      </c>
      <c r="D16" s="233"/>
      <c r="E16" s="233"/>
      <c r="F16" s="43"/>
      <c r="G16" s="43"/>
      <c r="H16" s="43"/>
      <c r="I16" s="43"/>
    </row>
    <row r="17" spans="1:19" s="42" customFormat="1" ht="19.899999999999999" customHeight="1" x14ac:dyDescent="0.25">
      <c r="A17" s="121" t="s">
        <v>12</v>
      </c>
      <c r="B17" s="362" t="s">
        <v>13</v>
      </c>
      <c r="C17" s="362"/>
      <c r="D17" s="362"/>
      <c r="E17" s="362"/>
      <c r="F17" s="362"/>
      <c r="G17" s="362"/>
      <c r="H17" s="362"/>
      <c r="I17" s="362"/>
    </row>
    <row r="18" spans="1:19" s="42" customFormat="1" ht="19.899999999999999" customHeight="1" x14ac:dyDescent="0.25">
      <c r="A18" s="121" t="s">
        <v>4</v>
      </c>
      <c r="B18" s="46" t="s">
        <v>14</v>
      </c>
      <c r="E18" s="43"/>
    </row>
    <row r="19" spans="1:19" s="51" customFormat="1" ht="19.899999999999999" customHeight="1" x14ac:dyDescent="0.25">
      <c r="A19" s="123"/>
      <c r="B19" s="47" t="s">
        <v>15</v>
      </c>
      <c r="C19" s="144">
        <v>27</v>
      </c>
      <c r="D19" s="363" t="s">
        <v>16</v>
      </c>
      <c r="E19" s="363"/>
      <c r="F19" s="49" t="s">
        <v>493</v>
      </c>
      <c r="G19" s="50"/>
      <c r="I19" s="50"/>
    </row>
    <row r="20" spans="1:19" s="51" customFormat="1" ht="19.899999999999999" customHeight="1" x14ac:dyDescent="0.25">
      <c r="A20" s="123"/>
      <c r="B20" s="47" t="s">
        <v>17</v>
      </c>
      <c r="C20" s="52">
        <v>107.5</v>
      </c>
      <c r="D20" s="50" t="s">
        <v>105</v>
      </c>
      <c r="E20" s="53"/>
      <c r="F20" s="54"/>
      <c r="H20" s="55"/>
      <c r="I20" s="50"/>
    </row>
    <row r="21" spans="1:19" s="51" customFormat="1" ht="19.899999999999999" customHeight="1" x14ac:dyDescent="0.25">
      <c r="A21" s="123"/>
      <c r="B21" s="56" t="s">
        <v>18</v>
      </c>
      <c r="C21" s="57"/>
      <c r="D21" s="50"/>
      <c r="E21" s="53"/>
      <c r="F21" s="50"/>
      <c r="H21" s="55"/>
      <c r="I21" s="50"/>
    </row>
    <row r="22" spans="1:19" s="51" customFormat="1" ht="19.899999999999999" customHeight="1" x14ac:dyDescent="0.25">
      <c r="A22" s="123"/>
      <c r="B22" s="47" t="s">
        <v>19</v>
      </c>
      <c r="C22" s="52">
        <v>23.6</v>
      </c>
      <c r="D22" s="50" t="s">
        <v>105</v>
      </c>
      <c r="E22" s="53"/>
      <c r="F22" s="50"/>
      <c r="H22" s="55"/>
      <c r="I22" s="50"/>
      <c r="J22" s="133"/>
    </row>
    <row r="23" spans="1:19" s="51" customFormat="1" ht="19.899999999999999" customHeight="1" x14ac:dyDescent="0.25">
      <c r="A23" s="123"/>
      <c r="B23" s="47" t="s">
        <v>20</v>
      </c>
      <c r="C23" s="57">
        <f>C20-C22</f>
        <v>83.9</v>
      </c>
      <c r="D23" s="50" t="s">
        <v>105</v>
      </c>
      <c r="E23" s="53"/>
      <c r="F23" s="50"/>
      <c r="H23" s="55"/>
      <c r="I23" s="50"/>
      <c r="J23" s="142"/>
    </row>
    <row r="24" spans="1:19" s="42" customFormat="1" ht="22.5" customHeight="1" x14ac:dyDescent="0.25">
      <c r="A24" s="122"/>
      <c r="B24" s="24" t="s">
        <v>21</v>
      </c>
      <c r="C24" s="362" t="s">
        <v>544</v>
      </c>
      <c r="D24" s="362"/>
      <c r="E24" s="362"/>
      <c r="F24" s="362"/>
      <c r="G24" s="362"/>
      <c r="H24" s="362"/>
      <c r="I24" s="362"/>
    </row>
    <row r="25" spans="1:19" s="36" customFormat="1" ht="195" customHeight="1" x14ac:dyDescent="0.25">
      <c r="A25" s="39">
        <v>2</v>
      </c>
      <c r="B25" s="58" t="s">
        <v>73</v>
      </c>
      <c r="C25" s="366" t="s">
        <v>585</v>
      </c>
      <c r="D25" s="367"/>
      <c r="E25" s="367"/>
      <c r="F25" s="367"/>
      <c r="G25" s="367"/>
      <c r="H25" s="367"/>
      <c r="I25" s="367"/>
      <c r="J25" s="133"/>
      <c r="K25" s="133"/>
      <c r="L25" s="133"/>
      <c r="M25" s="59"/>
      <c r="N25" s="59"/>
      <c r="O25" s="59"/>
      <c r="P25" s="59"/>
      <c r="Q25" s="59"/>
      <c r="R25" s="59"/>
      <c r="S25" s="59"/>
    </row>
    <row r="26" spans="1:19" s="36" customFormat="1" ht="21" customHeight="1" x14ac:dyDescent="0.25">
      <c r="A26" s="39">
        <v>3</v>
      </c>
      <c r="B26" s="364" t="s">
        <v>82</v>
      </c>
      <c r="C26" s="364"/>
      <c r="D26" s="364"/>
      <c r="E26" s="364"/>
      <c r="F26" s="364"/>
      <c r="G26" s="60"/>
      <c r="H26" s="149">
        <v>0</v>
      </c>
      <c r="I26" s="60" t="s">
        <v>55</v>
      </c>
      <c r="J26" s="59"/>
      <c r="K26" s="142"/>
      <c r="L26" s="59"/>
      <c r="M26" s="59"/>
      <c r="N26" s="59"/>
      <c r="O26" s="59"/>
      <c r="P26" s="59"/>
      <c r="Q26" s="59"/>
      <c r="R26" s="59"/>
      <c r="S26" s="59"/>
    </row>
    <row r="27" spans="1:19" s="36" customFormat="1" ht="23.25" customHeight="1" x14ac:dyDescent="0.25">
      <c r="A27" s="39">
        <v>4</v>
      </c>
      <c r="B27" s="364" t="s">
        <v>65</v>
      </c>
      <c r="C27" s="364"/>
      <c r="D27" s="364"/>
      <c r="E27" s="364"/>
      <c r="F27" s="364"/>
      <c r="G27" s="364"/>
      <c r="H27" s="148">
        <v>0</v>
      </c>
      <c r="I27" s="60" t="s">
        <v>84</v>
      </c>
      <c r="J27" s="59"/>
      <c r="K27" s="59"/>
      <c r="L27" s="59"/>
      <c r="M27" s="59"/>
      <c r="N27" s="59"/>
      <c r="O27" s="59"/>
      <c r="P27" s="59"/>
      <c r="Q27" s="59"/>
      <c r="R27" s="59"/>
      <c r="S27" s="59"/>
    </row>
    <row r="28" spans="1:19" s="41" customFormat="1" x14ac:dyDescent="0.25">
      <c r="A28" s="39" t="s">
        <v>88</v>
      </c>
      <c r="B28" s="364" t="s">
        <v>87</v>
      </c>
      <c r="C28" s="364"/>
      <c r="D28" s="364"/>
      <c r="E28" s="364"/>
      <c r="F28" s="364"/>
      <c r="G28" s="364"/>
      <c r="H28" s="364"/>
      <c r="I28" s="364"/>
    </row>
    <row r="29" spans="1:19" s="40" customFormat="1" ht="20.25" customHeight="1" x14ac:dyDescent="0.25">
      <c r="A29" s="39" t="s">
        <v>4</v>
      </c>
      <c r="B29" s="360" t="s">
        <v>24</v>
      </c>
      <c r="C29" s="360"/>
      <c r="D29" s="360"/>
      <c r="E29" s="360"/>
      <c r="F29" s="360"/>
      <c r="G29" s="360"/>
      <c r="H29" s="360"/>
      <c r="I29" s="360"/>
      <c r="J29" s="41"/>
      <c r="K29" s="41"/>
      <c r="L29" s="41"/>
      <c r="M29" s="41"/>
      <c r="N29" s="41"/>
      <c r="O29" s="41"/>
      <c r="P29" s="41"/>
      <c r="Q29" s="41"/>
      <c r="R29" s="41"/>
      <c r="S29" s="41"/>
    </row>
    <row r="30" spans="1:19" s="24" customFormat="1" ht="32.25" customHeight="1" x14ac:dyDescent="0.25">
      <c r="A30" s="351" t="s">
        <v>25</v>
      </c>
      <c r="B30" s="353" t="s">
        <v>26</v>
      </c>
      <c r="C30" s="354"/>
      <c r="D30" s="354"/>
      <c r="E30" s="354"/>
      <c r="F30" s="354"/>
      <c r="G30" s="354"/>
      <c r="H30" s="354"/>
      <c r="I30" s="355"/>
    </row>
    <row r="31" spans="1:19" s="25" customFormat="1" ht="49.5" x14ac:dyDescent="0.25">
      <c r="A31" s="352"/>
      <c r="B31" s="353" t="s">
        <v>27</v>
      </c>
      <c r="C31" s="355"/>
      <c r="D31" s="21" t="s">
        <v>28</v>
      </c>
      <c r="E31" s="22" t="s">
        <v>29</v>
      </c>
      <c r="F31" s="22" t="s">
        <v>30</v>
      </c>
      <c r="G31" s="21" t="s">
        <v>31</v>
      </c>
      <c r="H31" s="22" t="s">
        <v>104</v>
      </c>
      <c r="I31" s="22" t="s">
        <v>33</v>
      </c>
    </row>
    <row r="32" spans="1:19" s="62" customFormat="1" ht="18.75" customHeight="1" x14ac:dyDescent="0.25">
      <c r="A32" s="61">
        <v>1</v>
      </c>
      <c r="B32" s="356">
        <v>2</v>
      </c>
      <c r="C32" s="357"/>
      <c r="D32" s="61">
        <v>3</v>
      </c>
      <c r="E32" s="61">
        <v>4</v>
      </c>
      <c r="F32" s="61">
        <v>5</v>
      </c>
      <c r="G32" s="61">
        <v>6</v>
      </c>
      <c r="H32" s="61">
        <v>7</v>
      </c>
      <c r="I32" s="61">
        <v>8</v>
      </c>
    </row>
    <row r="33" spans="1:9" s="68" customFormat="1" ht="39" customHeight="1" x14ac:dyDescent="0.25">
      <c r="A33" s="63">
        <v>1</v>
      </c>
      <c r="B33" s="358" t="s">
        <v>563</v>
      </c>
      <c r="C33" s="359"/>
      <c r="D33" s="64" t="s">
        <v>106</v>
      </c>
      <c r="E33" s="65">
        <f>C22</f>
        <v>23.6</v>
      </c>
      <c r="F33" s="63"/>
      <c r="G33" s="66"/>
      <c r="H33" s="166">
        <f>E33*F33*G33</f>
        <v>0</v>
      </c>
      <c r="I33" s="67"/>
    </row>
    <row r="34" spans="1:9" s="71" customFormat="1" ht="30.75" customHeight="1" x14ac:dyDescent="0.25">
      <c r="A34" s="69"/>
      <c r="B34" s="349" t="s">
        <v>34</v>
      </c>
      <c r="C34" s="350"/>
      <c r="D34" s="69"/>
      <c r="E34" s="69"/>
      <c r="F34" s="69"/>
      <c r="G34" s="69"/>
      <c r="H34" s="169">
        <f>SUM(H33:H33)</f>
        <v>0</v>
      </c>
      <c r="I34" s="69"/>
    </row>
    <row r="35" spans="1:9" ht="9" customHeight="1" x14ac:dyDescent="0.25">
      <c r="A35" s="77"/>
      <c r="B35" s="72"/>
      <c r="C35" s="72"/>
      <c r="D35" s="73"/>
      <c r="E35" s="73"/>
      <c r="F35" s="73"/>
      <c r="G35" s="73"/>
      <c r="H35" s="73"/>
      <c r="I35" s="73"/>
    </row>
    <row r="36" spans="1:9" ht="21" customHeight="1" x14ac:dyDescent="0.25">
      <c r="A36" s="75" t="s">
        <v>9</v>
      </c>
      <c r="B36" s="360" t="s">
        <v>35</v>
      </c>
      <c r="C36" s="360"/>
      <c r="D36" s="360"/>
      <c r="E36" s="360"/>
      <c r="F36" s="360"/>
      <c r="G36" s="360"/>
      <c r="H36" s="360"/>
      <c r="I36" s="360"/>
    </row>
    <row r="37" spans="1:9" s="23" customFormat="1" ht="49.5" x14ac:dyDescent="0.25">
      <c r="A37" s="29" t="s">
        <v>25</v>
      </c>
      <c r="B37" s="353" t="s">
        <v>27</v>
      </c>
      <c r="C37" s="355"/>
      <c r="D37" s="21" t="s">
        <v>28</v>
      </c>
      <c r="E37" s="22" t="s">
        <v>29</v>
      </c>
      <c r="F37" s="22" t="s">
        <v>30</v>
      </c>
      <c r="G37" s="21" t="s">
        <v>31</v>
      </c>
      <c r="H37" s="22" t="s">
        <v>32</v>
      </c>
      <c r="I37" s="22" t="s">
        <v>33</v>
      </c>
    </row>
    <row r="38" spans="1:9" s="62" customFormat="1" ht="18" customHeight="1" x14ac:dyDescent="0.25">
      <c r="A38" s="61">
        <v>1</v>
      </c>
      <c r="B38" s="356">
        <v>2</v>
      </c>
      <c r="C38" s="357"/>
      <c r="D38" s="61">
        <v>3</v>
      </c>
      <c r="E38" s="61">
        <v>4</v>
      </c>
      <c r="F38" s="61">
        <v>5</v>
      </c>
      <c r="G38" s="61">
        <v>6</v>
      </c>
      <c r="H38" s="61">
        <v>7</v>
      </c>
      <c r="I38" s="61">
        <v>8</v>
      </c>
    </row>
    <row r="39" spans="1:9" ht="37.5" customHeight="1" x14ac:dyDescent="0.25">
      <c r="A39" s="26">
        <v>1</v>
      </c>
      <c r="B39" s="353"/>
      <c r="C39" s="355"/>
      <c r="D39" s="27"/>
      <c r="E39" s="22"/>
      <c r="F39" s="27"/>
      <c r="G39" s="27"/>
      <c r="H39" s="27"/>
      <c r="I39" s="26" t="s">
        <v>36</v>
      </c>
    </row>
    <row r="40" spans="1:9" s="71" customFormat="1" ht="25.5" customHeight="1" x14ac:dyDescent="0.25">
      <c r="A40" s="69"/>
      <c r="B40" s="349" t="s">
        <v>34</v>
      </c>
      <c r="C40" s="350"/>
      <c r="D40" s="74"/>
      <c r="E40" s="69"/>
      <c r="F40" s="74"/>
      <c r="G40" s="74"/>
      <c r="H40" s="74"/>
      <c r="I40" s="69"/>
    </row>
    <row r="41" spans="1:9" x14ac:dyDescent="0.25">
      <c r="A41" s="124"/>
      <c r="B41" s="75"/>
      <c r="C41" s="75"/>
      <c r="D41" s="76"/>
      <c r="E41" s="75"/>
      <c r="F41" s="76"/>
      <c r="G41" s="76"/>
      <c r="H41" s="76"/>
      <c r="I41" s="75"/>
    </row>
    <row r="42" spans="1:9" x14ac:dyDescent="0.25">
      <c r="A42" s="324"/>
      <c r="B42" s="327" t="s">
        <v>37</v>
      </c>
      <c r="C42" s="328"/>
      <c r="D42" s="328"/>
      <c r="E42" s="328"/>
      <c r="F42" s="328"/>
      <c r="G42" s="329"/>
      <c r="H42" s="27"/>
      <c r="I42" s="26" t="s">
        <v>74</v>
      </c>
    </row>
    <row r="43" spans="1:9" x14ac:dyDescent="0.25">
      <c r="A43" s="325"/>
      <c r="B43" s="330" t="s">
        <v>38</v>
      </c>
      <c r="C43" s="331"/>
      <c r="D43" s="331"/>
      <c r="E43" s="331"/>
      <c r="F43" s="331"/>
      <c r="G43" s="332"/>
      <c r="H43" s="27"/>
      <c r="I43" s="26" t="s">
        <v>74</v>
      </c>
    </row>
    <row r="44" spans="1:9" x14ac:dyDescent="0.25">
      <c r="A44" s="326"/>
      <c r="B44" s="333" t="s">
        <v>39</v>
      </c>
      <c r="C44" s="334"/>
      <c r="D44" s="334"/>
      <c r="E44" s="334"/>
      <c r="F44" s="334"/>
      <c r="G44" s="335"/>
      <c r="H44" s="27"/>
      <c r="I44" s="26" t="s">
        <v>74</v>
      </c>
    </row>
    <row r="45" spans="1:9" ht="6.75" customHeight="1" x14ac:dyDescent="0.25">
      <c r="A45" s="77"/>
      <c r="B45" s="72"/>
      <c r="C45" s="72"/>
      <c r="D45" s="72"/>
      <c r="E45" s="78"/>
      <c r="F45" s="72"/>
      <c r="G45" s="72"/>
      <c r="H45" s="79"/>
      <c r="I45" s="79"/>
    </row>
    <row r="46" spans="1:9" ht="21" customHeight="1" x14ac:dyDescent="0.25">
      <c r="A46" s="125" t="s">
        <v>22</v>
      </c>
      <c r="B46" s="376" t="s">
        <v>40</v>
      </c>
      <c r="C46" s="376"/>
      <c r="D46" s="376"/>
      <c r="E46" s="376"/>
      <c r="F46" s="376"/>
      <c r="G46" s="376"/>
      <c r="H46" s="80"/>
      <c r="I46" s="81"/>
    </row>
    <row r="47" spans="1:9" s="30" customFormat="1" ht="49.5" x14ac:dyDescent="0.25">
      <c r="A47" s="21" t="s">
        <v>25</v>
      </c>
      <c r="B47" s="21" t="s">
        <v>41</v>
      </c>
      <c r="C47" s="21" t="s">
        <v>28</v>
      </c>
      <c r="D47" s="21" t="s">
        <v>42</v>
      </c>
      <c r="E47" s="21" t="s">
        <v>43</v>
      </c>
      <c r="F47" s="22" t="s">
        <v>30</v>
      </c>
      <c r="G47" s="21" t="s">
        <v>31</v>
      </c>
      <c r="H47" s="21" t="s">
        <v>45</v>
      </c>
      <c r="I47" s="21" t="s">
        <v>33</v>
      </c>
    </row>
    <row r="48" spans="1:9" s="83" customFormat="1" ht="18" customHeight="1" x14ac:dyDescent="0.25">
      <c r="A48" s="82">
        <v>1</v>
      </c>
      <c r="B48" s="82">
        <v>2</v>
      </c>
      <c r="C48" s="82">
        <v>3</v>
      </c>
      <c r="D48" s="82">
        <v>4</v>
      </c>
      <c r="E48" s="82">
        <v>5</v>
      </c>
      <c r="F48" s="82">
        <v>6</v>
      </c>
      <c r="G48" s="82">
        <v>7</v>
      </c>
      <c r="H48" s="82">
        <v>8</v>
      </c>
      <c r="I48" s="82">
        <v>9</v>
      </c>
    </row>
    <row r="49" spans="1:12" s="89" customFormat="1" ht="30" customHeight="1" x14ac:dyDescent="0.25">
      <c r="A49" s="21" t="s">
        <v>46</v>
      </c>
      <c r="B49" s="84" t="s">
        <v>47</v>
      </c>
      <c r="C49" s="85"/>
      <c r="D49" s="85"/>
      <c r="E49" s="86"/>
      <c r="F49" s="85"/>
      <c r="G49" s="85"/>
      <c r="H49" s="167">
        <f>SUM(H50:H55)</f>
        <v>0</v>
      </c>
      <c r="I49" s="88"/>
    </row>
    <row r="50" spans="1:12" s="89" customFormat="1" ht="30" customHeight="1" x14ac:dyDescent="0.25">
      <c r="A50" s="290">
        <v>1</v>
      </c>
      <c r="B50" s="186" t="s">
        <v>151</v>
      </c>
      <c r="C50" s="305" t="s">
        <v>105</v>
      </c>
      <c r="D50" s="93" t="s">
        <v>546</v>
      </c>
      <c r="E50" s="309">
        <f>4.19*2.8</f>
        <v>11.732000000000001</v>
      </c>
      <c r="F50" s="200"/>
      <c r="G50" s="200"/>
      <c r="H50" s="201"/>
      <c r="I50" s="347" t="s">
        <v>110</v>
      </c>
    </row>
    <row r="51" spans="1:12" s="89" customFormat="1" ht="30" customHeight="1" x14ac:dyDescent="0.25">
      <c r="A51" s="290">
        <v>2</v>
      </c>
      <c r="B51" s="186" t="s">
        <v>540</v>
      </c>
      <c r="C51" s="305" t="s">
        <v>105</v>
      </c>
      <c r="D51" s="93" t="s">
        <v>547</v>
      </c>
      <c r="E51" s="93">
        <v>13.4</v>
      </c>
      <c r="F51" s="200"/>
      <c r="G51" s="200"/>
      <c r="H51" s="201"/>
      <c r="I51" s="348"/>
    </row>
    <row r="52" spans="1:12" s="89" customFormat="1" ht="30" customHeight="1" x14ac:dyDescent="0.25">
      <c r="A52" s="290">
        <v>3</v>
      </c>
      <c r="B52" s="186" t="s">
        <v>90</v>
      </c>
      <c r="C52" s="305" t="s">
        <v>105</v>
      </c>
      <c r="D52" s="93" t="s">
        <v>548</v>
      </c>
      <c r="E52" s="309">
        <f>4.19*10.8</f>
        <v>45.25200000000001</v>
      </c>
      <c r="F52" s="200"/>
      <c r="G52" s="200"/>
      <c r="H52" s="201"/>
      <c r="I52" s="348"/>
    </row>
    <row r="53" spans="1:12" s="89" customFormat="1" ht="69" customHeight="1" x14ac:dyDescent="0.25">
      <c r="A53" s="290">
        <v>4</v>
      </c>
      <c r="B53" s="91" t="s">
        <v>545</v>
      </c>
      <c r="C53" s="306" t="s">
        <v>105</v>
      </c>
      <c r="D53" s="307" t="s">
        <v>380</v>
      </c>
      <c r="E53" s="308">
        <f>C20</f>
        <v>107.5</v>
      </c>
      <c r="F53" s="200"/>
      <c r="G53" s="200"/>
      <c r="H53" s="201"/>
      <c r="I53" s="348"/>
    </row>
    <row r="54" spans="1:12" s="89" customFormat="1" ht="40.15" customHeight="1" x14ac:dyDescent="0.25">
      <c r="A54" s="290"/>
      <c r="B54" s="91" t="s">
        <v>109</v>
      </c>
      <c r="C54" s="306" t="s">
        <v>105</v>
      </c>
      <c r="D54" s="307" t="s">
        <v>357</v>
      </c>
      <c r="E54" s="308">
        <f>C22</f>
        <v>23.6</v>
      </c>
      <c r="F54" s="200"/>
      <c r="G54" s="200"/>
      <c r="H54" s="201"/>
      <c r="I54" s="348"/>
    </row>
    <row r="55" spans="1:12" s="89" customFormat="1" ht="34.9" customHeight="1" x14ac:dyDescent="0.25">
      <c r="A55" s="290"/>
      <c r="B55" s="91" t="s">
        <v>109</v>
      </c>
      <c r="C55" s="306" t="s">
        <v>105</v>
      </c>
      <c r="D55" s="307"/>
      <c r="E55" s="308">
        <f>E53-E54</f>
        <v>83.9</v>
      </c>
      <c r="F55" s="200"/>
      <c r="G55" s="200"/>
      <c r="H55" s="201"/>
      <c r="I55" s="380"/>
    </row>
    <row r="56" spans="1:12" s="89" customFormat="1" ht="25.5" customHeight="1" x14ac:dyDescent="0.25">
      <c r="A56" s="21" t="s">
        <v>48</v>
      </c>
      <c r="B56" s="84" t="s">
        <v>49</v>
      </c>
      <c r="C56" s="85"/>
      <c r="D56" s="85"/>
      <c r="E56" s="92"/>
      <c r="F56" s="85"/>
      <c r="G56" s="85"/>
      <c r="H56" s="167">
        <f>SUM(H57:H57)</f>
        <v>0</v>
      </c>
      <c r="I56" s="310"/>
    </row>
    <row r="57" spans="1:12" s="89" customFormat="1" ht="27" customHeight="1" x14ac:dyDescent="0.25">
      <c r="A57" s="90"/>
      <c r="B57" s="186"/>
      <c r="C57" s="200"/>
      <c r="D57" s="90"/>
      <c r="E57" s="92"/>
      <c r="F57" s="85"/>
      <c r="G57" s="85"/>
      <c r="H57" s="201"/>
      <c r="I57" s="156"/>
    </row>
    <row r="58" spans="1:12" s="102" customFormat="1" ht="31.5" customHeight="1" x14ac:dyDescent="0.25">
      <c r="A58" s="126"/>
      <c r="B58" s="100" t="s">
        <v>50</v>
      </c>
      <c r="C58" s="100"/>
      <c r="D58" s="100"/>
      <c r="E58" s="100"/>
      <c r="F58" s="100"/>
      <c r="G58" s="100"/>
      <c r="H58" s="158">
        <f>H49+H56</f>
        <v>0</v>
      </c>
      <c r="I58" s="101"/>
    </row>
    <row r="59" spans="1:12" ht="22.5" customHeight="1" x14ac:dyDescent="0.25">
      <c r="A59" s="127">
        <v>4</v>
      </c>
      <c r="B59" s="337" t="s">
        <v>51</v>
      </c>
      <c r="C59" s="337"/>
      <c r="D59" s="337"/>
      <c r="E59" s="337"/>
      <c r="F59" s="337"/>
      <c r="G59" s="337"/>
      <c r="H59" s="51"/>
      <c r="I59" s="51"/>
    </row>
    <row r="60" spans="1:12" s="104" customFormat="1" ht="49.5" x14ac:dyDescent="0.25">
      <c r="A60" s="103" t="s">
        <v>25</v>
      </c>
      <c r="B60" s="338" t="s">
        <v>52</v>
      </c>
      <c r="C60" s="339"/>
      <c r="D60" s="21" t="s">
        <v>29</v>
      </c>
      <c r="E60" s="21" t="s">
        <v>53</v>
      </c>
      <c r="F60" s="21" t="s">
        <v>44</v>
      </c>
      <c r="G60" s="21" t="s">
        <v>54</v>
      </c>
      <c r="H60" s="21" t="s">
        <v>45</v>
      </c>
      <c r="I60" s="21" t="s">
        <v>33</v>
      </c>
    </row>
    <row r="61" spans="1:12" ht="28.5" customHeight="1" x14ac:dyDescent="0.25">
      <c r="A61" s="105"/>
      <c r="B61" s="340"/>
      <c r="C61" s="341"/>
      <c r="D61" s="106"/>
      <c r="E61" s="105"/>
      <c r="F61" s="107"/>
      <c r="G61" s="108"/>
      <c r="H61" s="108"/>
      <c r="I61" s="109"/>
      <c r="L61" s="110"/>
    </row>
    <row r="62" spans="1:12" s="112" customFormat="1" ht="27.75" customHeight="1" x14ac:dyDescent="0.25">
      <c r="A62" s="126"/>
      <c r="B62" s="342" t="s">
        <v>34</v>
      </c>
      <c r="C62" s="343"/>
      <c r="D62" s="100"/>
      <c r="E62" s="100"/>
      <c r="F62" s="100"/>
      <c r="G62" s="100"/>
      <c r="H62" s="163">
        <f>SUM(H61)</f>
        <v>0</v>
      </c>
      <c r="I62" s="111"/>
      <c r="L62" s="113"/>
    </row>
    <row r="63" spans="1:12" s="115" customFormat="1" ht="27.75" customHeight="1" x14ac:dyDescent="0.25">
      <c r="A63" s="128">
        <v>5</v>
      </c>
      <c r="B63" s="344" t="s">
        <v>56</v>
      </c>
      <c r="C63" s="344"/>
      <c r="D63" s="344"/>
      <c r="E63" s="344"/>
      <c r="F63" s="344"/>
      <c r="G63" s="345"/>
      <c r="H63" s="164">
        <f>H62+H58+H40+H34</f>
        <v>0</v>
      </c>
      <c r="I63" s="114" t="s">
        <v>57</v>
      </c>
    </row>
    <row r="64" spans="1:12" s="117" customFormat="1" ht="17.25" x14ac:dyDescent="0.25">
      <c r="A64" s="129"/>
      <c r="B64" s="116" t="s">
        <v>78</v>
      </c>
      <c r="C64" s="346" t="s">
        <v>91</v>
      </c>
      <c r="D64" s="346"/>
      <c r="E64" s="346"/>
      <c r="F64" s="346"/>
      <c r="G64" s="346"/>
      <c r="H64" s="346"/>
      <c r="I64" s="346"/>
    </row>
    <row r="65" spans="1:9" s="41" customFormat="1" ht="17.25" hidden="1" x14ac:dyDescent="0.3">
      <c r="A65" s="39"/>
      <c r="B65" s="118"/>
      <c r="E65" s="119"/>
      <c r="F65" s="316" t="s">
        <v>75</v>
      </c>
      <c r="G65" s="316"/>
      <c r="H65" s="316"/>
      <c r="I65" s="316"/>
    </row>
    <row r="66" spans="1:9" hidden="1" x14ac:dyDescent="0.25">
      <c r="F66" s="316" t="s">
        <v>76</v>
      </c>
      <c r="G66" s="316"/>
      <c r="H66" s="316"/>
      <c r="I66" s="316"/>
    </row>
    <row r="67" spans="1:9" hidden="1" x14ac:dyDescent="0.25">
      <c r="F67" s="317"/>
      <c r="G67" s="317"/>
      <c r="H67" s="317"/>
      <c r="I67" s="317"/>
    </row>
    <row r="68" spans="1:9" hidden="1" x14ac:dyDescent="0.25"/>
    <row r="69" spans="1:9" hidden="1" x14ac:dyDescent="0.25"/>
    <row r="70" spans="1:9" hidden="1" x14ac:dyDescent="0.25"/>
    <row r="71" spans="1:9" hidden="1" x14ac:dyDescent="0.25"/>
    <row r="72" spans="1:9" hidden="1" x14ac:dyDescent="0.25"/>
    <row r="73" spans="1:9" hidden="1" x14ac:dyDescent="0.25">
      <c r="F73" s="318" t="s">
        <v>77</v>
      </c>
      <c r="G73" s="318"/>
      <c r="H73" s="318"/>
      <c r="I73" s="318"/>
    </row>
    <row r="74" spans="1:9" ht="65.25" customHeight="1" x14ac:dyDescent="0.25">
      <c r="A74" s="319" t="s">
        <v>100</v>
      </c>
      <c r="B74" s="319"/>
      <c r="C74" s="319"/>
      <c r="D74" s="319"/>
      <c r="E74" s="319"/>
      <c r="F74" s="319"/>
      <c r="G74" s="319"/>
      <c r="H74" s="319"/>
      <c r="I74" s="319"/>
    </row>
    <row r="75" spans="1:9" x14ac:dyDescent="0.25">
      <c r="A75" s="315" t="s">
        <v>102</v>
      </c>
      <c r="B75" s="315"/>
      <c r="C75" s="315"/>
      <c r="D75" s="315"/>
      <c r="E75" s="315"/>
      <c r="F75" s="315"/>
      <c r="G75" s="315"/>
      <c r="H75" s="315"/>
      <c r="I75" s="315"/>
    </row>
    <row r="76" spans="1:9" x14ac:dyDescent="0.25">
      <c r="A76" s="320" t="s">
        <v>107</v>
      </c>
      <c r="B76" s="320"/>
      <c r="C76" s="320"/>
      <c r="D76" s="321"/>
      <c r="E76" s="322" t="s">
        <v>108</v>
      </c>
      <c r="F76" s="323"/>
      <c r="G76" s="323"/>
      <c r="H76" s="323"/>
      <c r="I76" s="323"/>
    </row>
    <row r="77" spans="1:9" x14ac:dyDescent="0.25">
      <c r="A77" s="320"/>
      <c r="B77" s="320"/>
      <c r="C77" s="320"/>
      <c r="D77" s="321"/>
      <c r="E77" s="322"/>
      <c r="F77" s="323"/>
      <c r="G77" s="323"/>
      <c r="H77" s="323"/>
      <c r="I77" s="323"/>
    </row>
    <row r="78" spans="1:9" x14ac:dyDescent="0.25">
      <c r="A78" s="320"/>
      <c r="B78" s="320"/>
      <c r="C78" s="320"/>
      <c r="D78" s="321"/>
      <c r="E78" s="38"/>
      <c r="I78" s="20"/>
    </row>
    <row r="79" spans="1:9" x14ac:dyDescent="0.25">
      <c r="A79" s="315" t="s">
        <v>101</v>
      </c>
      <c r="B79" s="315"/>
      <c r="C79" s="315"/>
      <c r="D79" s="315"/>
      <c r="E79" s="315"/>
      <c r="F79" s="315"/>
      <c r="G79" s="315"/>
      <c r="H79" s="315"/>
      <c r="I79" s="315"/>
    </row>
  </sheetData>
  <mergeCells count="57">
    <mergeCell ref="A1:D1"/>
    <mergeCell ref="E1:I1"/>
    <mergeCell ref="A2:D2"/>
    <mergeCell ref="E2:I2"/>
    <mergeCell ref="A4:C4"/>
    <mergeCell ref="E4:I4"/>
    <mergeCell ref="A5:I5"/>
    <mergeCell ref="A6:I6"/>
    <mergeCell ref="A7:I7"/>
    <mergeCell ref="B8:I8"/>
    <mergeCell ref="B9:E9"/>
    <mergeCell ref="F9:I9"/>
    <mergeCell ref="B28:I28"/>
    <mergeCell ref="C10:I10"/>
    <mergeCell ref="C11:I11"/>
    <mergeCell ref="F13:I13"/>
    <mergeCell ref="C14:I14"/>
    <mergeCell ref="C15:I15"/>
    <mergeCell ref="B17:I17"/>
    <mergeCell ref="D19:E19"/>
    <mergeCell ref="C24:I24"/>
    <mergeCell ref="C25:I25"/>
    <mergeCell ref="B26:F26"/>
    <mergeCell ref="B27:G27"/>
    <mergeCell ref="B40:C40"/>
    <mergeCell ref="B29:I29"/>
    <mergeCell ref="A30:A31"/>
    <mergeCell ref="B30:I30"/>
    <mergeCell ref="B31:C31"/>
    <mergeCell ref="B32:C32"/>
    <mergeCell ref="B33:C33"/>
    <mergeCell ref="B34:C34"/>
    <mergeCell ref="B36:I36"/>
    <mergeCell ref="B37:C37"/>
    <mergeCell ref="B38:C38"/>
    <mergeCell ref="B39:C39"/>
    <mergeCell ref="C64:I64"/>
    <mergeCell ref="A42:A44"/>
    <mergeCell ref="B42:G42"/>
    <mergeCell ref="B43:G43"/>
    <mergeCell ref="B44:G44"/>
    <mergeCell ref="B46:G46"/>
    <mergeCell ref="B59:G59"/>
    <mergeCell ref="B60:C60"/>
    <mergeCell ref="B61:C61"/>
    <mergeCell ref="B62:C62"/>
    <mergeCell ref="B63:G63"/>
    <mergeCell ref="I50:I55"/>
    <mergeCell ref="A76:D78"/>
    <mergeCell ref="E76:I77"/>
    <mergeCell ref="A79:I79"/>
    <mergeCell ref="F65:I65"/>
    <mergeCell ref="F66:I66"/>
    <mergeCell ref="F67:I67"/>
    <mergeCell ref="F73:I73"/>
    <mergeCell ref="A74:I74"/>
    <mergeCell ref="A75:I75"/>
  </mergeCells>
  <pageMargins left="0.11811023622047245" right="0.11811023622047245" top="0.19685039370078741" bottom="0.15748031496062992" header="0.19685039370078741" footer="0.15748031496062992"/>
  <pageSetup paperSize="9" scale="80" orientation="portrait" r:id="rId1"/>
  <drawing r:id="rId2"/>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83"/>
  <sheetViews>
    <sheetView topLeftCell="A28" workbookViewId="0">
      <selection activeCell="B33" sqref="B33:C33"/>
    </sheetView>
  </sheetViews>
  <sheetFormatPr defaultColWidth="9.140625" defaultRowHeight="16.5" x14ac:dyDescent="0.25"/>
  <cols>
    <col min="1" max="1" width="4.28515625" style="68" customWidth="1"/>
    <col min="2" max="2" width="27.28515625" style="20" customWidth="1"/>
    <col min="3" max="3" width="8.7109375" style="20" customWidth="1"/>
    <col min="4" max="4" width="22.7109375" style="20" customWidth="1"/>
    <col min="5" max="5" width="9.7109375" style="23" customWidth="1"/>
    <col min="6" max="6" width="12.28515625" style="20" customWidth="1"/>
    <col min="7" max="7" width="9.42578125" style="20" customWidth="1"/>
    <col min="8" max="8" width="14.28515625" style="20" customWidth="1"/>
    <col min="9" max="9" width="16" style="120" customWidth="1"/>
    <col min="10" max="11" width="9.140625" style="20"/>
    <col min="12" max="12" width="11.42578125" style="20" customWidth="1"/>
    <col min="13" max="16384" width="9.140625" style="20"/>
  </cols>
  <sheetData>
    <row r="1" spans="1:17" s="36" customFormat="1" x14ac:dyDescent="0.25">
      <c r="A1" s="368" t="s">
        <v>98</v>
      </c>
      <c r="B1" s="368"/>
      <c r="C1" s="368"/>
      <c r="D1" s="368"/>
      <c r="E1" s="368" t="s">
        <v>0</v>
      </c>
      <c r="F1" s="368"/>
      <c r="G1" s="368"/>
      <c r="H1" s="368"/>
      <c r="I1" s="368"/>
    </row>
    <row r="2" spans="1:17" s="36" customFormat="1" x14ac:dyDescent="0.25">
      <c r="A2" s="369" t="s">
        <v>99</v>
      </c>
      <c r="B2" s="369"/>
      <c r="C2" s="369"/>
      <c r="D2" s="369"/>
      <c r="E2" s="369" t="s">
        <v>1</v>
      </c>
      <c r="F2" s="368"/>
      <c r="G2" s="368"/>
      <c r="H2" s="368"/>
      <c r="I2" s="368"/>
    </row>
    <row r="3" spans="1:17" s="36" customFormat="1" ht="20.25" customHeight="1" x14ac:dyDescent="0.25">
      <c r="A3" s="39"/>
      <c r="C3" s="39"/>
      <c r="D3" s="39"/>
      <c r="E3" s="39"/>
      <c r="F3" s="39"/>
      <c r="G3" s="39"/>
      <c r="H3" s="39"/>
      <c r="I3" s="37"/>
    </row>
    <row r="4" spans="1:17" s="36" customFormat="1" ht="23.25" customHeight="1" x14ac:dyDescent="0.25">
      <c r="A4" s="369" t="s">
        <v>89</v>
      </c>
      <c r="B4" s="369"/>
      <c r="C4" s="369"/>
      <c r="E4" s="370" t="s">
        <v>185</v>
      </c>
      <c r="F4" s="370"/>
      <c r="G4" s="370"/>
      <c r="H4" s="370"/>
      <c r="I4" s="370"/>
    </row>
    <row r="5" spans="1:17" s="40" customFormat="1" ht="18.75" customHeight="1" x14ac:dyDescent="0.25">
      <c r="A5" s="371" t="s">
        <v>85</v>
      </c>
      <c r="B5" s="371"/>
      <c r="C5" s="371"/>
      <c r="D5" s="371"/>
      <c r="E5" s="371"/>
      <c r="F5" s="371"/>
      <c r="G5" s="371"/>
      <c r="H5" s="371"/>
      <c r="I5" s="371"/>
    </row>
    <row r="6" spans="1:17" s="40" customFormat="1" ht="39.75" customHeight="1" x14ac:dyDescent="0.25">
      <c r="A6" s="372" t="s">
        <v>86</v>
      </c>
      <c r="B6" s="372"/>
      <c r="C6" s="372"/>
      <c r="D6" s="372"/>
      <c r="E6" s="372"/>
      <c r="F6" s="372"/>
      <c r="G6" s="372"/>
      <c r="H6" s="372"/>
      <c r="I6" s="372"/>
      <c r="Q6" s="41"/>
    </row>
    <row r="7" spans="1:17" s="40" customFormat="1" ht="23.25" customHeight="1" x14ac:dyDescent="0.25">
      <c r="A7" s="373" t="s">
        <v>207</v>
      </c>
      <c r="B7" s="373"/>
      <c r="C7" s="373"/>
      <c r="D7" s="373"/>
      <c r="E7" s="373"/>
      <c r="F7" s="373"/>
      <c r="G7" s="373"/>
      <c r="H7" s="373"/>
      <c r="I7" s="373"/>
    </row>
    <row r="8" spans="1:17" s="42" customFormat="1" ht="19.899999999999999" customHeight="1" x14ac:dyDescent="0.25">
      <c r="A8" s="121" t="s">
        <v>2</v>
      </c>
      <c r="B8" s="362" t="s">
        <v>3</v>
      </c>
      <c r="C8" s="362"/>
      <c r="D8" s="362"/>
      <c r="E8" s="362"/>
      <c r="F8" s="362"/>
      <c r="G8" s="362"/>
      <c r="H8" s="362"/>
      <c r="I8" s="362"/>
    </row>
    <row r="9" spans="1:17" s="42" customFormat="1" ht="19.899999999999999" customHeight="1" x14ac:dyDescent="0.25">
      <c r="A9" s="121" t="s">
        <v>4</v>
      </c>
      <c r="B9" s="374" t="s">
        <v>5</v>
      </c>
      <c r="C9" s="374"/>
      <c r="D9" s="374"/>
      <c r="E9" s="374"/>
      <c r="F9" s="365" t="s">
        <v>359</v>
      </c>
      <c r="G9" s="365"/>
      <c r="H9" s="365"/>
      <c r="I9" s="365"/>
    </row>
    <row r="10" spans="1:17" s="42" customFormat="1" ht="19.899999999999999" customHeight="1" x14ac:dyDescent="0.25">
      <c r="A10" s="122"/>
      <c r="B10" s="24" t="s">
        <v>6</v>
      </c>
      <c r="C10" s="365" t="s">
        <v>251</v>
      </c>
      <c r="D10" s="365"/>
      <c r="E10" s="365"/>
      <c r="F10" s="365"/>
      <c r="G10" s="365"/>
      <c r="H10" s="365"/>
      <c r="I10" s="365"/>
    </row>
    <row r="11" spans="1:17" s="42" customFormat="1" ht="19.899999999999999" customHeight="1" x14ac:dyDescent="0.25">
      <c r="A11" s="122"/>
      <c r="B11" s="24" t="s">
        <v>7</v>
      </c>
      <c r="C11" s="365" t="s">
        <v>251</v>
      </c>
      <c r="D11" s="365"/>
      <c r="E11" s="365"/>
      <c r="F11" s="365"/>
      <c r="G11" s="365"/>
      <c r="H11" s="365"/>
      <c r="I11" s="365"/>
    </row>
    <row r="12" spans="1:17" s="42" customFormat="1" ht="19.899999999999999" customHeight="1" x14ac:dyDescent="0.25">
      <c r="A12" s="122"/>
      <c r="B12" s="24" t="s">
        <v>11</v>
      </c>
      <c r="C12" s="233" t="s">
        <v>360</v>
      </c>
      <c r="D12" s="233"/>
      <c r="E12" s="233"/>
      <c r="F12" s="43"/>
      <c r="G12" s="43"/>
      <c r="H12" s="43"/>
      <c r="I12" s="43"/>
    </row>
    <row r="13" spans="1:17" s="42" customFormat="1" ht="19.899999999999999" customHeight="1" x14ac:dyDescent="0.25">
      <c r="A13" s="121" t="s">
        <v>9</v>
      </c>
      <c r="B13" s="44" t="s">
        <v>10</v>
      </c>
      <c r="E13" s="43"/>
      <c r="F13" s="362" t="str">
        <f>F9</f>
        <v>Nguyễn Thị Phương Mai</v>
      </c>
      <c r="G13" s="362"/>
      <c r="H13" s="362"/>
      <c r="I13" s="362"/>
      <c r="J13" s="143"/>
    </row>
    <row r="14" spans="1:17" s="42" customFormat="1" ht="19.899999999999999" customHeight="1" x14ac:dyDescent="0.25">
      <c r="A14" s="122"/>
      <c r="B14" s="24" t="s">
        <v>6</v>
      </c>
      <c r="C14" s="365" t="str">
        <f>+C10</f>
        <v>Thôn Phố Gốt - Xã Phú Nghĩa - TP Hà Nội</v>
      </c>
      <c r="D14" s="365"/>
      <c r="E14" s="365"/>
      <c r="F14" s="365"/>
      <c r="G14" s="365"/>
      <c r="H14" s="365"/>
      <c r="I14" s="365"/>
    </row>
    <row r="15" spans="1:17" s="42" customFormat="1" ht="19.899999999999999" customHeight="1" x14ac:dyDescent="0.25">
      <c r="A15" s="122"/>
      <c r="B15" s="24" t="s">
        <v>7</v>
      </c>
      <c r="C15" s="365" t="str">
        <f>C11</f>
        <v>Thôn Phố Gốt - Xã Phú Nghĩa - TP Hà Nội</v>
      </c>
      <c r="D15" s="365"/>
      <c r="E15" s="365"/>
      <c r="F15" s="365"/>
      <c r="G15" s="365"/>
      <c r="H15" s="365"/>
      <c r="I15" s="365"/>
    </row>
    <row r="16" spans="1:17" s="42" customFormat="1" ht="19.899999999999999" customHeight="1" x14ac:dyDescent="0.25">
      <c r="A16" s="122"/>
      <c r="B16" s="24" t="s">
        <v>11</v>
      </c>
      <c r="C16" s="233" t="str">
        <f>+C12</f>
        <v>00158025860</v>
      </c>
      <c r="D16" s="233"/>
      <c r="E16" s="233"/>
      <c r="F16" s="43"/>
      <c r="G16" s="43"/>
      <c r="H16" s="43"/>
      <c r="I16" s="43"/>
    </row>
    <row r="17" spans="1:19" s="42" customFormat="1" ht="19.899999999999999" customHeight="1" x14ac:dyDescent="0.25">
      <c r="A17" s="121" t="s">
        <v>12</v>
      </c>
      <c r="B17" s="362" t="s">
        <v>13</v>
      </c>
      <c r="C17" s="362"/>
      <c r="D17" s="362"/>
      <c r="E17" s="362"/>
      <c r="F17" s="362"/>
      <c r="G17" s="362"/>
      <c r="H17" s="362"/>
      <c r="I17" s="362"/>
    </row>
    <row r="18" spans="1:19" s="42" customFormat="1" ht="19.899999999999999" customHeight="1" x14ac:dyDescent="0.25">
      <c r="A18" s="121" t="s">
        <v>4</v>
      </c>
      <c r="B18" s="46" t="s">
        <v>14</v>
      </c>
      <c r="E18" s="43"/>
    </row>
    <row r="19" spans="1:19" s="51" customFormat="1" ht="19.899999999999999" customHeight="1" x14ac:dyDescent="0.25">
      <c r="A19" s="123"/>
      <c r="B19" s="47" t="s">
        <v>15</v>
      </c>
      <c r="C19" s="48">
        <v>80</v>
      </c>
      <c r="D19" s="363" t="s">
        <v>16</v>
      </c>
      <c r="E19" s="363"/>
      <c r="F19" s="49" t="s">
        <v>128</v>
      </c>
      <c r="G19" s="50"/>
      <c r="I19" s="50"/>
    </row>
    <row r="20" spans="1:19" s="51" customFormat="1" ht="19.899999999999999" customHeight="1" x14ac:dyDescent="0.25">
      <c r="A20" s="123"/>
      <c r="B20" s="47" t="s">
        <v>17</v>
      </c>
      <c r="C20" s="52">
        <v>91.2</v>
      </c>
      <c r="D20" s="50" t="s">
        <v>105</v>
      </c>
      <c r="E20" s="53"/>
      <c r="F20" s="54"/>
      <c r="H20" s="55"/>
      <c r="I20" s="50"/>
    </row>
    <row r="21" spans="1:19" s="51" customFormat="1" ht="19.899999999999999" customHeight="1" x14ac:dyDescent="0.25">
      <c r="A21" s="123"/>
      <c r="B21" s="56" t="s">
        <v>18</v>
      </c>
      <c r="C21" s="57"/>
      <c r="D21" s="50"/>
      <c r="E21" s="53"/>
      <c r="F21" s="50"/>
      <c r="H21" s="55"/>
      <c r="I21" s="50"/>
    </row>
    <row r="22" spans="1:19" s="51" customFormat="1" ht="19.899999999999999" customHeight="1" x14ac:dyDescent="0.25">
      <c r="A22" s="123"/>
      <c r="B22" s="47" t="s">
        <v>19</v>
      </c>
      <c r="C22" s="52">
        <v>45.8</v>
      </c>
      <c r="D22" s="50" t="s">
        <v>105</v>
      </c>
      <c r="E22" s="53"/>
      <c r="F22" s="50"/>
      <c r="H22" s="55"/>
      <c r="I22" s="50"/>
      <c r="J22" s="133"/>
    </row>
    <row r="23" spans="1:19" s="51" customFormat="1" ht="19.899999999999999" customHeight="1" x14ac:dyDescent="0.25">
      <c r="A23" s="123"/>
      <c r="B23" s="47" t="s">
        <v>20</v>
      </c>
      <c r="C23" s="57">
        <f>C20-C22</f>
        <v>45.400000000000006</v>
      </c>
      <c r="D23" s="50" t="s">
        <v>105</v>
      </c>
      <c r="E23" s="53"/>
      <c r="F23" s="50"/>
      <c r="H23" s="55"/>
      <c r="I23" s="50"/>
      <c r="J23" s="142"/>
    </row>
    <row r="24" spans="1:19" s="42" customFormat="1" ht="22.5" customHeight="1" x14ac:dyDescent="0.25">
      <c r="A24" s="122"/>
      <c r="B24" s="24" t="s">
        <v>21</v>
      </c>
      <c r="C24" s="362" t="s">
        <v>561</v>
      </c>
      <c r="D24" s="362"/>
      <c r="E24" s="362"/>
      <c r="F24" s="362"/>
      <c r="G24" s="362"/>
      <c r="H24" s="362"/>
      <c r="I24" s="362"/>
    </row>
    <row r="25" spans="1:19" s="36" customFormat="1" ht="189.75" customHeight="1" x14ac:dyDescent="0.25">
      <c r="A25" s="39">
        <v>2</v>
      </c>
      <c r="B25" s="58" t="s">
        <v>73</v>
      </c>
      <c r="C25" s="366" t="s">
        <v>586</v>
      </c>
      <c r="D25" s="367"/>
      <c r="E25" s="367"/>
      <c r="F25" s="367"/>
      <c r="G25" s="367"/>
      <c r="H25" s="367"/>
      <c r="I25" s="367"/>
      <c r="J25" s="133"/>
      <c r="K25" s="133"/>
      <c r="L25" s="59"/>
      <c r="M25" s="59"/>
      <c r="N25" s="59"/>
      <c r="O25" s="59"/>
      <c r="P25" s="59"/>
      <c r="Q25" s="59"/>
      <c r="R25" s="59"/>
      <c r="S25" s="59"/>
    </row>
    <row r="26" spans="1:19" s="36" customFormat="1" ht="21" customHeight="1" x14ac:dyDescent="0.25">
      <c r="A26" s="39">
        <v>3</v>
      </c>
      <c r="B26" s="364" t="s">
        <v>82</v>
      </c>
      <c r="C26" s="364"/>
      <c r="D26" s="364"/>
      <c r="E26" s="364"/>
      <c r="F26" s="364"/>
      <c r="G26" s="60"/>
      <c r="H26" s="149" t="s">
        <v>112</v>
      </c>
      <c r="I26" s="60" t="s">
        <v>55</v>
      </c>
      <c r="J26" s="59"/>
      <c r="K26" s="142"/>
      <c r="L26" s="59"/>
      <c r="M26" s="59"/>
      <c r="N26" s="59"/>
      <c r="O26" s="59"/>
      <c r="P26" s="59"/>
      <c r="Q26" s="59"/>
      <c r="R26" s="59"/>
      <c r="S26" s="59"/>
    </row>
    <row r="27" spans="1:19" s="36" customFormat="1" ht="23.25" customHeight="1" x14ac:dyDescent="0.25">
      <c r="A27" s="39">
        <v>4</v>
      </c>
      <c r="B27" s="364" t="s">
        <v>65</v>
      </c>
      <c r="C27" s="364"/>
      <c r="D27" s="364"/>
      <c r="E27" s="364"/>
      <c r="F27" s="364"/>
      <c r="G27" s="364"/>
      <c r="H27" s="148" t="s">
        <v>113</v>
      </c>
      <c r="I27" s="60" t="s">
        <v>84</v>
      </c>
      <c r="J27" s="59"/>
      <c r="K27" s="59"/>
      <c r="L27" s="59"/>
      <c r="M27" s="59"/>
      <c r="N27" s="59"/>
      <c r="O27" s="59"/>
      <c r="P27" s="59"/>
      <c r="Q27" s="59"/>
      <c r="R27" s="59"/>
      <c r="S27" s="59"/>
    </row>
    <row r="28" spans="1:19" s="41" customFormat="1" ht="21" customHeight="1" x14ac:dyDescent="0.25">
      <c r="A28" s="39" t="s">
        <v>88</v>
      </c>
      <c r="B28" s="364" t="s">
        <v>87</v>
      </c>
      <c r="C28" s="364"/>
      <c r="D28" s="364"/>
      <c r="E28" s="364"/>
      <c r="F28" s="364"/>
      <c r="G28" s="364"/>
      <c r="H28" s="364"/>
      <c r="I28" s="364"/>
    </row>
    <row r="29" spans="1:19" s="40" customFormat="1" ht="20.25" customHeight="1" x14ac:dyDescent="0.25">
      <c r="A29" s="39" t="s">
        <v>4</v>
      </c>
      <c r="B29" s="360" t="s">
        <v>24</v>
      </c>
      <c r="C29" s="360"/>
      <c r="D29" s="360"/>
      <c r="E29" s="360"/>
      <c r="F29" s="360"/>
      <c r="G29" s="360"/>
      <c r="H29" s="360"/>
      <c r="I29" s="360"/>
      <c r="J29" s="41"/>
      <c r="K29" s="41"/>
      <c r="L29" s="41"/>
      <c r="M29" s="41"/>
      <c r="N29" s="41"/>
      <c r="O29" s="41"/>
      <c r="P29" s="41"/>
      <c r="Q29" s="41"/>
      <c r="R29" s="41"/>
      <c r="S29" s="41"/>
    </row>
    <row r="30" spans="1:19" s="24" customFormat="1" ht="32.25" customHeight="1" x14ac:dyDescent="0.25">
      <c r="A30" s="351" t="s">
        <v>25</v>
      </c>
      <c r="B30" s="353" t="s">
        <v>26</v>
      </c>
      <c r="C30" s="354"/>
      <c r="D30" s="354"/>
      <c r="E30" s="354"/>
      <c r="F30" s="354"/>
      <c r="G30" s="354"/>
      <c r="H30" s="354"/>
      <c r="I30" s="355"/>
    </row>
    <row r="31" spans="1:19" s="25" customFormat="1" ht="49.5" x14ac:dyDescent="0.25">
      <c r="A31" s="352"/>
      <c r="B31" s="353" t="s">
        <v>27</v>
      </c>
      <c r="C31" s="355"/>
      <c r="D31" s="21" t="s">
        <v>28</v>
      </c>
      <c r="E31" s="22" t="s">
        <v>29</v>
      </c>
      <c r="F31" s="22" t="s">
        <v>30</v>
      </c>
      <c r="G31" s="21" t="s">
        <v>31</v>
      </c>
      <c r="H31" s="22" t="s">
        <v>104</v>
      </c>
      <c r="I31" s="22" t="s">
        <v>33</v>
      </c>
    </row>
    <row r="32" spans="1:19" s="62" customFormat="1" ht="18.75" customHeight="1" x14ac:dyDescent="0.25">
      <c r="A32" s="61">
        <v>1</v>
      </c>
      <c r="B32" s="356">
        <v>2</v>
      </c>
      <c r="C32" s="357"/>
      <c r="D32" s="61">
        <v>3</v>
      </c>
      <c r="E32" s="61">
        <v>4</v>
      </c>
      <c r="F32" s="61">
        <v>5</v>
      </c>
      <c r="G32" s="61">
        <v>6</v>
      </c>
      <c r="H32" s="61">
        <v>7</v>
      </c>
      <c r="I32" s="61">
        <v>8</v>
      </c>
    </row>
    <row r="33" spans="1:9" s="68" customFormat="1" ht="39" customHeight="1" x14ac:dyDescent="0.25">
      <c r="A33" s="63">
        <v>1</v>
      </c>
      <c r="B33" s="358" t="s">
        <v>563</v>
      </c>
      <c r="C33" s="359"/>
      <c r="D33" s="64" t="s">
        <v>106</v>
      </c>
      <c r="E33" s="65">
        <f>C22</f>
        <v>45.8</v>
      </c>
      <c r="F33" s="63"/>
      <c r="G33" s="66"/>
      <c r="H33" s="166">
        <f>E33*F33*G33</f>
        <v>0</v>
      </c>
      <c r="I33" s="67"/>
    </row>
    <row r="34" spans="1:9" s="71" customFormat="1" ht="27.75" customHeight="1" x14ac:dyDescent="0.25">
      <c r="A34" s="69"/>
      <c r="B34" s="349" t="s">
        <v>34</v>
      </c>
      <c r="C34" s="350"/>
      <c r="D34" s="69"/>
      <c r="E34" s="69"/>
      <c r="F34" s="69"/>
      <c r="G34" s="69"/>
      <c r="H34" s="169">
        <f>SUM(H33:H33)</f>
        <v>0</v>
      </c>
      <c r="I34" s="69"/>
    </row>
    <row r="35" spans="1:9" ht="3.75" customHeight="1" x14ac:dyDescent="0.25">
      <c r="A35" s="77"/>
      <c r="B35" s="72"/>
      <c r="C35" s="72"/>
      <c r="D35" s="73"/>
      <c r="E35" s="73"/>
      <c r="F35" s="73"/>
      <c r="G35" s="73"/>
      <c r="H35" s="73"/>
      <c r="I35" s="73"/>
    </row>
    <row r="36" spans="1:9" ht="21" customHeight="1" x14ac:dyDescent="0.25">
      <c r="A36" s="75" t="s">
        <v>9</v>
      </c>
      <c r="B36" s="360" t="s">
        <v>35</v>
      </c>
      <c r="C36" s="360"/>
      <c r="D36" s="360"/>
      <c r="E36" s="360"/>
      <c r="F36" s="360"/>
      <c r="G36" s="360"/>
      <c r="H36" s="360"/>
      <c r="I36" s="360"/>
    </row>
    <row r="37" spans="1:9" s="23" customFormat="1" ht="49.5" x14ac:dyDescent="0.25">
      <c r="A37" s="29" t="s">
        <v>25</v>
      </c>
      <c r="B37" s="353" t="s">
        <v>27</v>
      </c>
      <c r="C37" s="355"/>
      <c r="D37" s="21" t="s">
        <v>28</v>
      </c>
      <c r="E37" s="22" t="s">
        <v>29</v>
      </c>
      <c r="F37" s="22" t="s">
        <v>30</v>
      </c>
      <c r="G37" s="21" t="s">
        <v>31</v>
      </c>
      <c r="H37" s="22" t="s">
        <v>32</v>
      </c>
      <c r="I37" s="22" t="s">
        <v>33</v>
      </c>
    </row>
    <row r="38" spans="1:9" s="62" customFormat="1" ht="18" customHeight="1" x14ac:dyDescent="0.25">
      <c r="A38" s="61">
        <v>1</v>
      </c>
      <c r="B38" s="356">
        <v>2</v>
      </c>
      <c r="C38" s="357"/>
      <c r="D38" s="61">
        <v>3</v>
      </c>
      <c r="E38" s="61">
        <v>4</v>
      </c>
      <c r="F38" s="61">
        <v>5</v>
      </c>
      <c r="G38" s="61">
        <v>6</v>
      </c>
      <c r="H38" s="61">
        <v>7</v>
      </c>
      <c r="I38" s="61">
        <v>8</v>
      </c>
    </row>
    <row r="39" spans="1:9" ht="34.5" customHeight="1" x14ac:dyDescent="0.25">
      <c r="A39" s="26">
        <v>1</v>
      </c>
      <c r="B39" s="353"/>
      <c r="C39" s="355"/>
      <c r="D39" s="27"/>
      <c r="E39" s="22"/>
      <c r="F39" s="27"/>
      <c r="G39" s="27"/>
      <c r="H39" s="27"/>
      <c r="I39" s="26" t="s">
        <v>36</v>
      </c>
    </row>
    <row r="40" spans="1:9" s="71" customFormat="1" ht="25.5" customHeight="1" x14ac:dyDescent="0.25">
      <c r="A40" s="69"/>
      <c r="B40" s="349" t="s">
        <v>34</v>
      </c>
      <c r="C40" s="350"/>
      <c r="D40" s="74"/>
      <c r="E40" s="69"/>
      <c r="F40" s="74"/>
      <c r="G40" s="74"/>
      <c r="H40" s="74"/>
      <c r="I40" s="69"/>
    </row>
    <row r="41" spans="1:9" x14ac:dyDescent="0.25">
      <c r="A41" s="124"/>
      <c r="B41" s="75"/>
      <c r="C41" s="75"/>
      <c r="D41" s="76"/>
      <c r="E41" s="75"/>
      <c r="F41" s="76"/>
      <c r="G41" s="76"/>
      <c r="H41" s="76"/>
      <c r="I41" s="75"/>
    </row>
    <row r="42" spans="1:9" x14ac:dyDescent="0.25">
      <c r="A42" s="324"/>
      <c r="B42" s="327" t="s">
        <v>37</v>
      </c>
      <c r="C42" s="328"/>
      <c r="D42" s="328"/>
      <c r="E42" s="328"/>
      <c r="F42" s="328"/>
      <c r="G42" s="329"/>
      <c r="H42" s="27"/>
      <c r="I42" s="26" t="s">
        <v>74</v>
      </c>
    </row>
    <row r="43" spans="1:9" x14ac:dyDescent="0.25">
      <c r="A43" s="325"/>
      <c r="B43" s="330" t="s">
        <v>38</v>
      </c>
      <c r="C43" s="331"/>
      <c r="D43" s="331"/>
      <c r="E43" s="331"/>
      <c r="F43" s="331"/>
      <c r="G43" s="332"/>
      <c r="H43" s="27"/>
      <c r="I43" s="26" t="s">
        <v>74</v>
      </c>
    </row>
    <row r="44" spans="1:9" x14ac:dyDescent="0.25">
      <c r="A44" s="326"/>
      <c r="B44" s="333" t="s">
        <v>39</v>
      </c>
      <c r="C44" s="334"/>
      <c r="D44" s="334"/>
      <c r="E44" s="334"/>
      <c r="F44" s="334"/>
      <c r="G44" s="335"/>
      <c r="H44" s="27"/>
      <c r="I44" s="26" t="s">
        <v>74</v>
      </c>
    </row>
    <row r="45" spans="1:9" ht="6.75" customHeight="1" x14ac:dyDescent="0.25">
      <c r="A45" s="77"/>
      <c r="B45" s="72"/>
      <c r="C45" s="72"/>
      <c r="D45" s="72"/>
      <c r="E45" s="78"/>
      <c r="F45" s="72"/>
      <c r="G45" s="72"/>
      <c r="H45" s="79"/>
      <c r="I45" s="79"/>
    </row>
    <row r="46" spans="1:9" ht="21" customHeight="1" x14ac:dyDescent="0.25">
      <c r="A46" s="125" t="s">
        <v>22</v>
      </c>
      <c r="B46" s="376" t="s">
        <v>40</v>
      </c>
      <c r="C46" s="376"/>
      <c r="D46" s="376"/>
      <c r="E46" s="376"/>
      <c r="F46" s="376"/>
      <c r="G46" s="376"/>
      <c r="H46" s="80"/>
      <c r="I46" s="81"/>
    </row>
    <row r="47" spans="1:9" s="30" customFormat="1" ht="49.5" x14ac:dyDescent="0.25">
      <c r="A47" s="21" t="s">
        <v>25</v>
      </c>
      <c r="B47" s="21" t="s">
        <v>41</v>
      </c>
      <c r="C47" s="21" t="s">
        <v>28</v>
      </c>
      <c r="D47" s="21" t="s">
        <v>42</v>
      </c>
      <c r="E47" s="21" t="s">
        <v>43</v>
      </c>
      <c r="F47" s="22" t="s">
        <v>30</v>
      </c>
      <c r="G47" s="21" t="s">
        <v>31</v>
      </c>
      <c r="H47" s="21" t="s">
        <v>45</v>
      </c>
      <c r="I47" s="21" t="s">
        <v>33</v>
      </c>
    </row>
    <row r="48" spans="1:9" s="83" customFormat="1" ht="18" customHeight="1" x14ac:dyDescent="0.25">
      <c r="A48" s="82">
        <v>1</v>
      </c>
      <c r="B48" s="82">
        <v>2</v>
      </c>
      <c r="C48" s="82">
        <v>3</v>
      </c>
      <c r="D48" s="82">
        <v>4</v>
      </c>
      <c r="E48" s="82">
        <v>5</v>
      </c>
      <c r="F48" s="82">
        <v>6</v>
      </c>
      <c r="G48" s="82">
        <v>7</v>
      </c>
      <c r="H48" s="82">
        <v>8</v>
      </c>
      <c r="I48" s="82">
        <v>9</v>
      </c>
    </row>
    <row r="49" spans="1:9" s="89" customFormat="1" ht="30" customHeight="1" x14ac:dyDescent="0.25">
      <c r="A49" s="21" t="s">
        <v>46</v>
      </c>
      <c r="B49" s="84" t="s">
        <v>47</v>
      </c>
      <c r="C49" s="85"/>
      <c r="D49" s="85"/>
      <c r="E49" s="86"/>
      <c r="F49" s="85"/>
      <c r="G49" s="85"/>
      <c r="H49" s="167">
        <f>SUM(H50:H59)</f>
        <v>0</v>
      </c>
      <c r="I49" s="88"/>
    </row>
    <row r="50" spans="1:9" s="89" customFormat="1" ht="54.75" customHeight="1" x14ac:dyDescent="0.25">
      <c r="A50" s="90">
        <v>1</v>
      </c>
      <c r="B50" s="91" t="s">
        <v>361</v>
      </c>
      <c r="C50" s="64" t="s">
        <v>106</v>
      </c>
      <c r="D50" s="90" t="s">
        <v>362</v>
      </c>
      <c r="E50" s="92">
        <f>4.35*18.66</f>
        <v>81.170999999999992</v>
      </c>
      <c r="F50" s="93"/>
      <c r="G50" s="93"/>
      <c r="H50" s="159"/>
      <c r="I50" s="347" t="s">
        <v>110</v>
      </c>
    </row>
    <row r="51" spans="1:9" s="89" customFormat="1" ht="36" customHeight="1" x14ac:dyDescent="0.25">
      <c r="A51" s="90"/>
      <c r="B51" s="132" t="s">
        <v>109</v>
      </c>
      <c r="C51" s="64" t="s">
        <v>106</v>
      </c>
      <c r="D51" s="96" t="s">
        <v>357</v>
      </c>
      <c r="E51" s="92">
        <v>45.8</v>
      </c>
      <c r="F51" s="93"/>
      <c r="G51" s="93"/>
      <c r="H51" s="159"/>
      <c r="I51" s="348"/>
    </row>
    <row r="52" spans="1:9" s="89" customFormat="1" ht="36" customHeight="1" x14ac:dyDescent="0.25">
      <c r="A52" s="244"/>
      <c r="B52" s="132" t="s">
        <v>120</v>
      </c>
      <c r="C52" s="64" t="s">
        <v>106</v>
      </c>
      <c r="D52" s="96"/>
      <c r="E52" s="92">
        <f>E50-E51</f>
        <v>35.370999999999995</v>
      </c>
      <c r="F52" s="93"/>
      <c r="G52" s="93"/>
      <c r="H52" s="159"/>
      <c r="I52" s="348"/>
    </row>
    <row r="53" spans="1:9" s="89" customFormat="1" ht="27" customHeight="1" x14ac:dyDescent="0.25">
      <c r="A53" s="244" t="s">
        <v>131</v>
      </c>
      <c r="B53" s="132" t="s">
        <v>310</v>
      </c>
      <c r="C53" s="64" t="s">
        <v>106</v>
      </c>
      <c r="D53" s="96" t="s">
        <v>147</v>
      </c>
      <c r="E53" s="92">
        <f>E51</f>
        <v>45.8</v>
      </c>
      <c r="F53" s="93"/>
      <c r="G53" s="93"/>
      <c r="H53" s="159"/>
      <c r="I53" s="348"/>
    </row>
    <row r="54" spans="1:9" s="89" customFormat="1" ht="29.25" customHeight="1" x14ac:dyDescent="0.25">
      <c r="A54" s="90" t="s">
        <v>131</v>
      </c>
      <c r="B54" s="91" t="s">
        <v>231</v>
      </c>
      <c r="C54" s="64" t="s">
        <v>106</v>
      </c>
      <c r="D54" s="90" t="s">
        <v>363</v>
      </c>
      <c r="E54" s="231">
        <f>3*4.35</f>
        <v>13.049999999999999</v>
      </c>
      <c r="F54" s="93"/>
      <c r="G54" s="93"/>
      <c r="H54" s="159"/>
      <c r="I54" s="348"/>
    </row>
    <row r="55" spans="1:9" s="89" customFormat="1" ht="32.450000000000003" customHeight="1" x14ac:dyDescent="0.25">
      <c r="A55" s="244"/>
      <c r="B55" s="132" t="s">
        <v>438</v>
      </c>
      <c r="C55" s="64" t="s">
        <v>106</v>
      </c>
      <c r="D55" s="244" t="s">
        <v>439</v>
      </c>
      <c r="E55" s="231">
        <v>7.05</v>
      </c>
      <c r="F55" s="93"/>
      <c r="G55" s="93"/>
      <c r="H55" s="159"/>
      <c r="I55" s="348"/>
    </row>
    <row r="56" spans="1:9" s="89" customFormat="1" ht="29.25" customHeight="1" x14ac:dyDescent="0.25">
      <c r="A56" s="90" t="s">
        <v>131</v>
      </c>
      <c r="B56" s="132" t="s">
        <v>364</v>
      </c>
      <c r="C56" s="64" t="s">
        <v>106</v>
      </c>
      <c r="D56" s="90" t="s">
        <v>363</v>
      </c>
      <c r="E56" s="231">
        <f>3*4.35</f>
        <v>13.049999999999999</v>
      </c>
      <c r="F56" s="93"/>
      <c r="G56" s="93"/>
      <c r="H56" s="159"/>
      <c r="I56" s="348"/>
    </row>
    <row r="57" spans="1:9" s="89" customFormat="1" ht="32.25" customHeight="1" x14ac:dyDescent="0.25">
      <c r="A57" s="90">
        <v>2</v>
      </c>
      <c r="B57" s="132" t="s">
        <v>365</v>
      </c>
      <c r="C57" s="64" t="s">
        <v>106</v>
      </c>
      <c r="D57" s="96" t="s">
        <v>366</v>
      </c>
      <c r="E57" s="92">
        <f>3.7*4.35</f>
        <v>16.094999999999999</v>
      </c>
      <c r="F57" s="93"/>
      <c r="G57" s="93"/>
      <c r="H57" s="159"/>
      <c r="I57" s="348"/>
    </row>
    <row r="58" spans="1:9" s="89" customFormat="1" ht="30" customHeight="1" x14ac:dyDescent="0.25">
      <c r="A58" s="90">
        <v>3</v>
      </c>
      <c r="B58" s="132" t="s">
        <v>90</v>
      </c>
      <c r="C58" s="64" t="s">
        <v>106</v>
      </c>
      <c r="D58" s="96" t="s">
        <v>367</v>
      </c>
      <c r="E58" s="92">
        <f>9*4.35</f>
        <v>39.15</v>
      </c>
      <c r="F58" s="93"/>
      <c r="G58" s="93"/>
      <c r="H58" s="159"/>
      <c r="I58" s="348"/>
    </row>
    <row r="59" spans="1:9" s="89" customFormat="1" ht="32.25" customHeight="1" x14ac:dyDescent="0.25">
      <c r="A59" s="244">
        <v>4</v>
      </c>
      <c r="B59" s="132" t="s">
        <v>164</v>
      </c>
      <c r="C59" s="64" t="s">
        <v>92</v>
      </c>
      <c r="D59" s="96" t="s">
        <v>163</v>
      </c>
      <c r="E59" s="92">
        <v>15</v>
      </c>
      <c r="F59" s="93"/>
      <c r="G59" s="93"/>
      <c r="H59" s="159"/>
      <c r="I59" s="348"/>
    </row>
    <row r="60" spans="1:9" s="89" customFormat="1" ht="25.5" customHeight="1" x14ac:dyDescent="0.25">
      <c r="A60" s="21" t="s">
        <v>48</v>
      </c>
      <c r="B60" s="84" t="s">
        <v>49</v>
      </c>
      <c r="C60" s="85"/>
      <c r="D60" s="85"/>
      <c r="E60" s="92"/>
      <c r="F60" s="85"/>
      <c r="G60" s="85"/>
      <c r="H60" s="167">
        <f>SUM(H61:H61)</f>
        <v>0</v>
      </c>
      <c r="I60" s="95"/>
    </row>
    <row r="61" spans="1:9" s="89" customFormat="1" ht="73.150000000000006" customHeight="1" x14ac:dyDescent="0.25">
      <c r="A61" s="90">
        <v>1</v>
      </c>
      <c r="B61" s="186" t="s">
        <v>440</v>
      </c>
      <c r="C61" s="200"/>
      <c r="D61" s="90" t="s">
        <v>441</v>
      </c>
      <c r="E61" s="92">
        <v>1</v>
      </c>
      <c r="F61" s="85"/>
      <c r="G61" s="85"/>
      <c r="H61" s="201"/>
      <c r="I61" s="156" t="s">
        <v>110</v>
      </c>
    </row>
    <row r="62" spans="1:9" s="102" customFormat="1" ht="31.5" customHeight="1" x14ac:dyDescent="0.25">
      <c r="A62" s="126"/>
      <c r="B62" s="100" t="s">
        <v>50</v>
      </c>
      <c r="C62" s="100"/>
      <c r="D62" s="100"/>
      <c r="E62" s="100"/>
      <c r="F62" s="100"/>
      <c r="G62" s="100"/>
      <c r="H62" s="158">
        <f>H49+H60</f>
        <v>0</v>
      </c>
      <c r="I62" s="101"/>
    </row>
    <row r="63" spans="1:9" ht="22.5" customHeight="1" x14ac:dyDescent="0.25">
      <c r="A63" s="127">
        <v>4</v>
      </c>
      <c r="B63" s="337" t="s">
        <v>51</v>
      </c>
      <c r="C63" s="337"/>
      <c r="D63" s="337"/>
      <c r="E63" s="337"/>
      <c r="F63" s="337"/>
      <c r="G63" s="337"/>
      <c r="H63" s="51"/>
      <c r="I63" s="51"/>
    </row>
    <row r="64" spans="1:9" s="104" customFormat="1" ht="49.5" x14ac:dyDescent="0.25">
      <c r="A64" s="103" t="s">
        <v>25</v>
      </c>
      <c r="B64" s="338" t="s">
        <v>52</v>
      </c>
      <c r="C64" s="339"/>
      <c r="D64" s="21" t="s">
        <v>29</v>
      </c>
      <c r="E64" s="21" t="s">
        <v>53</v>
      </c>
      <c r="F64" s="21" t="s">
        <v>44</v>
      </c>
      <c r="G64" s="21" t="s">
        <v>54</v>
      </c>
      <c r="H64" s="21" t="s">
        <v>45</v>
      </c>
      <c r="I64" s="21" t="s">
        <v>33</v>
      </c>
    </row>
    <row r="65" spans="1:12" ht="28.5" customHeight="1" x14ac:dyDescent="0.25">
      <c r="A65" s="105"/>
      <c r="B65" s="340"/>
      <c r="C65" s="341"/>
      <c r="D65" s="106"/>
      <c r="E65" s="105"/>
      <c r="F65" s="107"/>
      <c r="G65" s="108"/>
      <c r="H65" s="108"/>
      <c r="I65" s="109"/>
      <c r="L65" s="110"/>
    </row>
    <row r="66" spans="1:12" s="112" customFormat="1" ht="27.75" customHeight="1" x14ac:dyDescent="0.25">
      <c r="A66" s="126"/>
      <c r="B66" s="342" t="s">
        <v>34</v>
      </c>
      <c r="C66" s="343"/>
      <c r="D66" s="100"/>
      <c r="E66" s="100"/>
      <c r="F66" s="100"/>
      <c r="G66" s="100"/>
      <c r="H66" s="163">
        <f>SUM(H65)</f>
        <v>0</v>
      </c>
      <c r="I66" s="111"/>
      <c r="L66" s="113"/>
    </row>
    <row r="67" spans="1:12" s="115" customFormat="1" ht="27.75" customHeight="1" x14ac:dyDescent="0.25">
      <c r="A67" s="128">
        <v>5</v>
      </c>
      <c r="B67" s="344" t="s">
        <v>56</v>
      </c>
      <c r="C67" s="344"/>
      <c r="D67" s="344"/>
      <c r="E67" s="344"/>
      <c r="F67" s="344"/>
      <c r="G67" s="345"/>
      <c r="H67" s="164">
        <f>H66+H62+H40+H34</f>
        <v>0</v>
      </c>
      <c r="I67" s="114" t="s">
        <v>57</v>
      </c>
    </row>
    <row r="68" spans="1:12" s="117" customFormat="1" ht="17.25" x14ac:dyDescent="0.25">
      <c r="A68" s="129"/>
      <c r="B68" s="116" t="s">
        <v>78</v>
      </c>
      <c r="C68" s="346" t="s">
        <v>91</v>
      </c>
      <c r="D68" s="346"/>
      <c r="E68" s="346"/>
      <c r="F68" s="346"/>
      <c r="G68" s="346"/>
      <c r="H68" s="346"/>
      <c r="I68" s="346"/>
    </row>
    <row r="69" spans="1:12" s="41" customFormat="1" ht="17.25" hidden="1" x14ac:dyDescent="0.3">
      <c r="A69" s="39"/>
      <c r="B69" s="118"/>
      <c r="E69" s="119"/>
      <c r="F69" s="316" t="s">
        <v>75</v>
      </c>
      <c r="G69" s="316"/>
      <c r="H69" s="316"/>
      <c r="I69" s="316"/>
    </row>
    <row r="70" spans="1:12" hidden="1" x14ac:dyDescent="0.25">
      <c r="F70" s="316" t="s">
        <v>76</v>
      </c>
      <c r="G70" s="316"/>
      <c r="H70" s="316"/>
      <c r="I70" s="316"/>
    </row>
    <row r="71" spans="1:12" hidden="1" x14ac:dyDescent="0.25">
      <c r="F71" s="317"/>
      <c r="G71" s="317"/>
      <c r="H71" s="317"/>
      <c r="I71" s="317"/>
    </row>
    <row r="72" spans="1:12" hidden="1" x14ac:dyDescent="0.25"/>
    <row r="73" spans="1:12" hidden="1" x14ac:dyDescent="0.25"/>
    <row r="74" spans="1:12" hidden="1" x14ac:dyDescent="0.25"/>
    <row r="75" spans="1:12" hidden="1" x14ac:dyDescent="0.25"/>
    <row r="76" spans="1:12" hidden="1" x14ac:dyDescent="0.25"/>
    <row r="77" spans="1:12" hidden="1" x14ac:dyDescent="0.25">
      <c r="F77" s="318" t="s">
        <v>77</v>
      </c>
      <c r="G77" s="318"/>
      <c r="H77" s="318"/>
      <c r="I77" s="318"/>
    </row>
    <row r="78" spans="1:12" ht="65.25" customHeight="1" x14ac:dyDescent="0.25">
      <c r="A78" s="319" t="s">
        <v>100</v>
      </c>
      <c r="B78" s="319"/>
      <c r="C78" s="319"/>
      <c r="D78" s="319"/>
      <c r="E78" s="319"/>
      <c r="F78" s="319"/>
      <c r="G78" s="319"/>
      <c r="H78" s="319"/>
      <c r="I78" s="319"/>
    </row>
    <row r="79" spans="1:12" x14ac:dyDescent="0.25">
      <c r="A79" s="315" t="s">
        <v>102</v>
      </c>
      <c r="B79" s="315"/>
      <c r="C79" s="315"/>
      <c r="D79" s="315"/>
      <c r="E79" s="315"/>
      <c r="F79" s="315"/>
      <c r="G79" s="315"/>
      <c r="H79" s="315"/>
      <c r="I79" s="315"/>
    </row>
    <row r="80" spans="1:12" x14ac:dyDescent="0.25">
      <c r="A80" s="320" t="s">
        <v>107</v>
      </c>
      <c r="B80" s="320"/>
      <c r="C80" s="320"/>
      <c r="D80" s="321"/>
      <c r="E80" s="322" t="s">
        <v>108</v>
      </c>
      <c r="F80" s="323"/>
      <c r="G80" s="323"/>
      <c r="H80" s="323"/>
      <c r="I80" s="323"/>
    </row>
    <row r="81" spans="1:9" x14ac:dyDescent="0.25">
      <c r="A81" s="320"/>
      <c r="B81" s="320"/>
      <c r="C81" s="320"/>
      <c r="D81" s="321"/>
      <c r="E81" s="322"/>
      <c r="F81" s="323"/>
      <c r="G81" s="323"/>
      <c r="H81" s="323"/>
      <c r="I81" s="323"/>
    </row>
    <row r="82" spans="1:9" x14ac:dyDescent="0.25">
      <c r="A82" s="320"/>
      <c r="B82" s="320"/>
      <c r="C82" s="320"/>
      <c r="D82" s="321"/>
      <c r="E82" s="38"/>
      <c r="I82" s="20"/>
    </row>
    <row r="83" spans="1:9" x14ac:dyDescent="0.25">
      <c r="A83" s="315" t="s">
        <v>101</v>
      </c>
      <c r="B83" s="315"/>
      <c r="C83" s="315"/>
      <c r="D83" s="315"/>
      <c r="E83" s="315"/>
      <c r="F83" s="315"/>
      <c r="G83" s="315"/>
      <c r="H83" s="315"/>
      <c r="I83" s="315"/>
    </row>
  </sheetData>
  <mergeCells count="57">
    <mergeCell ref="A1:D1"/>
    <mergeCell ref="E1:I1"/>
    <mergeCell ref="A2:D2"/>
    <mergeCell ref="E2:I2"/>
    <mergeCell ref="A4:C4"/>
    <mergeCell ref="E4:I4"/>
    <mergeCell ref="A5:I5"/>
    <mergeCell ref="A6:I6"/>
    <mergeCell ref="A7:I7"/>
    <mergeCell ref="B8:I8"/>
    <mergeCell ref="B9:E9"/>
    <mergeCell ref="F9:I9"/>
    <mergeCell ref="B28:I28"/>
    <mergeCell ref="C10:I10"/>
    <mergeCell ref="C11:I11"/>
    <mergeCell ref="F13:I13"/>
    <mergeCell ref="C14:I14"/>
    <mergeCell ref="C15:I15"/>
    <mergeCell ref="B17:I17"/>
    <mergeCell ref="D19:E19"/>
    <mergeCell ref="C24:I24"/>
    <mergeCell ref="C25:I25"/>
    <mergeCell ref="B26:F26"/>
    <mergeCell ref="B27:G27"/>
    <mergeCell ref="B40:C40"/>
    <mergeCell ref="B29:I29"/>
    <mergeCell ref="A30:A31"/>
    <mergeCell ref="B30:I30"/>
    <mergeCell ref="B31:C31"/>
    <mergeCell ref="B32:C32"/>
    <mergeCell ref="B33:C33"/>
    <mergeCell ref="B34:C34"/>
    <mergeCell ref="B36:I36"/>
    <mergeCell ref="B37:C37"/>
    <mergeCell ref="B38:C38"/>
    <mergeCell ref="B39:C39"/>
    <mergeCell ref="C68:I68"/>
    <mergeCell ref="A42:A44"/>
    <mergeCell ref="B42:G42"/>
    <mergeCell ref="B43:G43"/>
    <mergeCell ref="B44:G44"/>
    <mergeCell ref="B46:G46"/>
    <mergeCell ref="I50:I59"/>
    <mergeCell ref="B63:G63"/>
    <mergeCell ref="B64:C64"/>
    <mergeCell ref="B65:C65"/>
    <mergeCell ref="B66:C66"/>
    <mergeCell ref="B67:G67"/>
    <mergeCell ref="A80:D82"/>
    <mergeCell ref="E80:I81"/>
    <mergeCell ref="A83:I83"/>
    <mergeCell ref="F69:I69"/>
    <mergeCell ref="F70:I70"/>
    <mergeCell ref="F71:I71"/>
    <mergeCell ref="F77:I77"/>
    <mergeCell ref="A78:I78"/>
    <mergeCell ref="A79:I79"/>
  </mergeCells>
  <printOptions horizontalCentered="1"/>
  <pageMargins left="0.11811023622047245" right="0.11811023622047245" top="0.19685039370078741" bottom="0.15748031496062992" header="0.19685039370078741" footer="0.15748031496062992"/>
  <pageSetup paperSize="9" scale="80" orientation="portrait" r:id="rId1"/>
  <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88"/>
  <sheetViews>
    <sheetView topLeftCell="A28" workbookViewId="0">
      <selection activeCell="B33" sqref="B33:C33"/>
    </sheetView>
  </sheetViews>
  <sheetFormatPr defaultColWidth="9.140625" defaultRowHeight="16.5" x14ac:dyDescent="0.25"/>
  <cols>
    <col min="1" max="1" width="4.28515625" style="68" customWidth="1"/>
    <col min="2" max="2" width="27.28515625" style="20" customWidth="1"/>
    <col min="3" max="3" width="8.7109375" style="20" customWidth="1"/>
    <col min="4" max="4" width="22.7109375" style="20" customWidth="1"/>
    <col min="5" max="5" width="9.7109375" style="23" customWidth="1"/>
    <col min="6" max="6" width="12.28515625" style="20" customWidth="1"/>
    <col min="7" max="7" width="9.42578125" style="20" customWidth="1"/>
    <col min="8" max="8" width="15" style="20" customWidth="1"/>
    <col min="9" max="9" width="16" style="120" customWidth="1"/>
    <col min="10" max="11" width="9.140625" style="20"/>
    <col min="12" max="12" width="11.42578125" style="20" customWidth="1"/>
    <col min="13" max="16384" width="9.140625" style="20"/>
  </cols>
  <sheetData>
    <row r="1" spans="1:17" s="36" customFormat="1" x14ac:dyDescent="0.25">
      <c r="A1" s="368" t="s">
        <v>98</v>
      </c>
      <c r="B1" s="368"/>
      <c r="C1" s="368"/>
      <c r="D1" s="368"/>
      <c r="E1" s="368" t="s">
        <v>0</v>
      </c>
      <c r="F1" s="368"/>
      <c r="G1" s="368"/>
      <c r="H1" s="368"/>
      <c r="I1" s="368"/>
    </row>
    <row r="2" spans="1:17" s="36" customFormat="1" x14ac:dyDescent="0.25">
      <c r="A2" s="369" t="s">
        <v>99</v>
      </c>
      <c r="B2" s="369"/>
      <c r="C2" s="369"/>
      <c r="D2" s="369"/>
      <c r="E2" s="369" t="s">
        <v>1</v>
      </c>
      <c r="F2" s="368"/>
      <c r="G2" s="368"/>
      <c r="H2" s="368"/>
      <c r="I2" s="368"/>
    </row>
    <row r="3" spans="1:17" s="36" customFormat="1" ht="20.25" customHeight="1" x14ac:dyDescent="0.25">
      <c r="A3" s="39"/>
      <c r="C3" s="39"/>
      <c r="D3" s="39"/>
      <c r="E3" s="39"/>
      <c r="F3" s="39"/>
      <c r="G3" s="39"/>
      <c r="H3" s="39"/>
      <c r="I3" s="37"/>
    </row>
    <row r="4" spans="1:17" s="36" customFormat="1" ht="23.25" customHeight="1" x14ac:dyDescent="0.25">
      <c r="A4" s="369" t="s">
        <v>89</v>
      </c>
      <c r="B4" s="369"/>
      <c r="C4" s="369"/>
      <c r="E4" s="370" t="s">
        <v>185</v>
      </c>
      <c r="F4" s="370"/>
      <c r="G4" s="370"/>
      <c r="H4" s="370"/>
      <c r="I4" s="370"/>
    </row>
    <row r="5" spans="1:17" s="40" customFormat="1" ht="18.75" customHeight="1" x14ac:dyDescent="0.25">
      <c r="A5" s="371" t="s">
        <v>85</v>
      </c>
      <c r="B5" s="371"/>
      <c r="C5" s="371"/>
      <c r="D5" s="371"/>
      <c r="E5" s="371"/>
      <c r="F5" s="371"/>
      <c r="G5" s="371"/>
      <c r="H5" s="371"/>
      <c r="I5" s="371"/>
    </row>
    <row r="6" spans="1:17" s="40" customFormat="1" ht="39.75" customHeight="1" x14ac:dyDescent="0.25">
      <c r="A6" s="372" t="s">
        <v>86</v>
      </c>
      <c r="B6" s="372"/>
      <c r="C6" s="372"/>
      <c r="D6" s="372"/>
      <c r="E6" s="372"/>
      <c r="F6" s="372"/>
      <c r="G6" s="372"/>
      <c r="H6" s="372"/>
      <c r="I6" s="372"/>
      <c r="Q6" s="41"/>
    </row>
    <row r="7" spans="1:17" s="40" customFormat="1" ht="27.75" customHeight="1" x14ac:dyDescent="0.25">
      <c r="A7" s="373" t="s">
        <v>166</v>
      </c>
      <c r="B7" s="373"/>
      <c r="C7" s="373"/>
      <c r="D7" s="373"/>
      <c r="E7" s="373"/>
      <c r="F7" s="373"/>
      <c r="G7" s="373"/>
      <c r="H7" s="373"/>
      <c r="I7" s="373"/>
    </row>
    <row r="8" spans="1:17" s="42" customFormat="1" ht="19.899999999999999" customHeight="1" x14ac:dyDescent="0.25">
      <c r="A8" s="121" t="s">
        <v>2</v>
      </c>
      <c r="B8" s="362" t="s">
        <v>3</v>
      </c>
      <c r="C8" s="362"/>
      <c r="D8" s="362"/>
      <c r="E8" s="362"/>
      <c r="F8" s="362"/>
      <c r="G8" s="362"/>
      <c r="H8" s="362"/>
      <c r="I8" s="362"/>
    </row>
    <row r="9" spans="1:17" s="42" customFormat="1" ht="19.899999999999999" customHeight="1" x14ac:dyDescent="0.25">
      <c r="A9" s="121" t="s">
        <v>4</v>
      </c>
      <c r="B9" s="374" t="s">
        <v>5</v>
      </c>
      <c r="C9" s="374"/>
      <c r="D9" s="374"/>
      <c r="E9" s="374"/>
      <c r="F9" s="365" t="s">
        <v>442</v>
      </c>
      <c r="G9" s="365"/>
      <c r="H9" s="365"/>
      <c r="I9" s="365"/>
    </row>
    <row r="10" spans="1:17" s="42" customFormat="1" ht="19.899999999999999" customHeight="1" x14ac:dyDescent="0.25">
      <c r="A10" s="122"/>
      <c r="B10" s="24" t="s">
        <v>6</v>
      </c>
      <c r="C10" s="365" t="s">
        <v>251</v>
      </c>
      <c r="D10" s="365"/>
      <c r="E10" s="365"/>
      <c r="F10" s="365"/>
      <c r="G10" s="365"/>
      <c r="H10" s="365"/>
      <c r="I10" s="365"/>
    </row>
    <row r="11" spans="1:17" s="42" customFormat="1" ht="19.899999999999999" customHeight="1" x14ac:dyDescent="0.25">
      <c r="A11" s="122"/>
      <c r="B11" s="24" t="s">
        <v>7</v>
      </c>
      <c r="C11" s="365" t="s">
        <v>251</v>
      </c>
      <c r="D11" s="365"/>
      <c r="E11" s="365"/>
      <c r="F11" s="365"/>
      <c r="G11" s="365"/>
      <c r="H11" s="365"/>
      <c r="I11" s="365"/>
    </row>
    <row r="12" spans="1:17" s="42" customFormat="1" ht="19.899999999999999" customHeight="1" x14ac:dyDescent="0.25">
      <c r="A12" s="122"/>
      <c r="B12" s="24" t="s">
        <v>11</v>
      </c>
      <c r="C12" s="233" t="s">
        <v>443</v>
      </c>
      <c r="D12" s="233"/>
      <c r="E12" s="233"/>
      <c r="F12" s="43"/>
      <c r="G12" s="43"/>
      <c r="H12" s="43"/>
      <c r="I12" s="43"/>
    </row>
    <row r="13" spans="1:17" s="42" customFormat="1" ht="19.899999999999999" customHeight="1" x14ac:dyDescent="0.25">
      <c r="A13" s="121" t="s">
        <v>9</v>
      </c>
      <c r="B13" s="44" t="s">
        <v>10</v>
      </c>
      <c r="E13" s="43"/>
      <c r="F13" s="362" t="str">
        <f>F9</f>
        <v>Trần Thị Út - Nguyễn Chí Lại</v>
      </c>
      <c r="G13" s="362"/>
      <c r="H13" s="362"/>
      <c r="I13" s="362"/>
      <c r="J13" s="143"/>
    </row>
    <row r="14" spans="1:17" s="42" customFormat="1" ht="19.899999999999999" customHeight="1" x14ac:dyDescent="0.25">
      <c r="A14" s="122"/>
      <c r="B14" s="24" t="s">
        <v>6</v>
      </c>
      <c r="C14" s="365" t="str">
        <f>+C10</f>
        <v>Thôn Phố Gốt - Xã Phú Nghĩa - TP Hà Nội</v>
      </c>
      <c r="D14" s="365"/>
      <c r="E14" s="365"/>
      <c r="F14" s="365"/>
      <c r="G14" s="365"/>
      <c r="H14" s="365"/>
      <c r="I14" s="365"/>
    </row>
    <row r="15" spans="1:17" s="42" customFormat="1" ht="19.899999999999999" customHeight="1" x14ac:dyDescent="0.25">
      <c r="A15" s="122"/>
      <c r="B15" s="24" t="s">
        <v>7</v>
      </c>
      <c r="C15" s="365" t="str">
        <f>C11</f>
        <v>Thôn Phố Gốt - Xã Phú Nghĩa - TP Hà Nội</v>
      </c>
      <c r="D15" s="365"/>
      <c r="E15" s="365"/>
      <c r="F15" s="365"/>
      <c r="G15" s="365"/>
      <c r="H15" s="365"/>
      <c r="I15" s="365"/>
    </row>
    <row r="16" spans="1:17" s="42" customFormat="1" ht="19.899999999999999" customHeight="1" x14ac:dyDescent="0.25">
      <c r="A16" s="122"/>
      <c r="B16" s="24" t="s">
        <v>11</v>
      </c>
      <c r="C16" s="233" t="str">
        <f>+C12</f>
        <v>001156010048</v>
      </c>
      <c r="D16" s="233"/>
      <c r="E16" s="233"/>
      <c r="F16" s="43"/>
      <c r="G16" s="43"/>
      <c r="H16" s="43"/>
      <c r="I16" s="43"/>
    </row>
    <row r="17" spans="1:19" s="42" customFormat="1" ht="19.899999999999999" customHeight="1" x14ac:dyDescent="0.25">
      <c r="A17" s="121" t="s">
        <v>12</v>
      </c>
      <c r="B17" s="362" t="s">
        <v>13</v>
      </c>
      <c r="C17" s="362"/>
      <c r="D17" s="362"/>
      <c r="E17" s="362"/>
      <c r="F17" s="362"/>
      <c r="G17" s="362"/>
      <c r="H17" s="362"/>
      <c r="I17" s="362"/>
    </row>
    <row r="18" spans="1:19" s="42" customFormat="1" ht="19.899999999999999" customHeight="1" x14ac:dyDescent="0.25">
      <c r="A18" s="121" t="s">
        <v>4</v>
      </c>
      <c r="B18" s="46" t="s">
        <v>14</v>
      </c>
      <c r="E18" s="43"/>
    </row>
    <row r="19" spans="1:19" s="51" customFormat="1" ht="19.899999999999999" customHeight="1" x14ac:dyDescent="0.25">
      <c r="A19" s="123"/>
      <c r="B19" s="47" t="s">
        <v>15</v>
      </c>
      <c r="C19" s="48">
        <v>82</v>
      </c>
      <c r="D19" s="363" t="s">
        <v>16</v>
      </c>
      <c r="E19" s="363"/>
      <c r="F19" s="49" t="s">
        <v>128</v>
      </c>
      <c r="G19" s="50"/>
      <c r="I19" s="50"/>
    </row>
    <row r="20" spans="1:19" s="51" customFormat="1" ht="19.899999999999999" customHeight="1" x14ac:dyDescent="0.25">
      <c r="A20" s="123"/>
      <c r="B20" s="47" t="s">
        <v>17</v>
      </c>
      <c r="C20" s="52">
        <v>157.6</v>
      </c>
      <c r="D20" s="50" t="s">
        <v>105</v>
      </c>
      <c r="E20" s="53"/>
      <c r="F20" s="54"/>
      <c r="H20" s="55"/>
      <c r="I20" s="50"/>
    </row>
    <row r="21" spans="1:19" s="51" customFormat="1" ht="19.899999999999999" customHeight="1" x14ac:dyDescent="0.25">
      <c r="A21" s="123"/>
      <c r="B21" s="56" t="s">
        <v>18</v>
      </c>
      <c r="C21" s="57"/>
      <c r="D21" s="50"/>
      <c r="E21" s="53"/>
      <c r="F21" s="50"/>
      <c r="H21" s="55"/>
      <c r="I21" s="50"/>
    </row>
    <row r="22" spans="1:19" s="51" customFormat="1" ht="19.899999999999999" customHeight="1" x14ac:dyDescent="0.25">
      <c r="A22" s="123"/>
      <c r="B22" s="47" t="s">
        <v>19</v>
      </c>
      <c r="C22" s="52">
        <v>49.1</v>
      </c>
      <c r="D22" s="50" t="s">
        <v>105</v>
      </c>
      <c r="E22" s="53"/>
      <c r="F22" s="50"/>
      <c r="H22" s="55"/>
      <c r="I22" s="50"/>
      <c r="J22" s="133"/>
    </row>
    <row r="23" spans="1:19" s="51" customFormat="1" ht="19.899999999999999" customHeight="1" x14ac:dyDescent="0.25">
      <c r="A23" s="123"/>
      <c r="B23" s="47" t="s">
        <v>20</v>
      </c>
      <c r="C23" s="57">
        <f>C20-C22</f>
        <v>108.5</v>
      </c>
      <c r="D23" s="50" t="s">
        <v>105</v>
      </c>
      <c r="E23" s="53"/>
      <c r="F23" s="50"/>
      <c r="H23" s="55"/>
      <c r="I23" s="50"/>
      <c r="J23" s="142"/>
    </row>
    <row r="24" spans="1:19" s="42" customFormat="1" ht="22.5" customHeight="1" x14ac:dyDescent="0.25">
      <c r="A24" s="122"/>
      <c r="B24" s="24" t="s">
        <v>21</v>
      </c>
      <c r="C24" s="362" t="s">
        <v>251</v>
      </c>
      <c r="D24" s="362"/>
      <c r="E24" s="362"/>
      <c r="F24" s="362"/>
      <c r="G24" s="362"/>
      <c r="H24" s="362"/>
      <c r="I24" s="362"/>
    </row>
    <row r="25" spans="1:19" s="36" customFormat="1" ht="210.6" customHeight="1" x14ac:dyDescent="0.25">
      <c r="A25" s="39">
        <v>2</v>
      </c>
      <c r="B25" s="58" t="s">
        <v>73</v>
      </c>
      <c r="C25" s="366" t="s">
        <v>587</v>
      </c>
      <c r="D25" s="367"/>
      <c r="E25" s="367"/>
      <c r="F25" s="367"/>
      <c r="G25" s="367"/>
      <c r="H25" s="367"/>
      <c r="I25" s="367"/>
      <c r="J25" s="133"/>
      <c r="K25" s="133"/>
      <c r="L25" s="59"/>
      <c r="M25" s="59"/>
      <c r="N25" s="59"/>
      <c r="O25" s="59"/>
      <c r="P25" s="59"/>
      <c r="Q25" s="59"/>
      <c r="R25" s="59"/>
      <c r="S25" s="59"/>
    </row>
    <row r="26" spans="1:19" s="36" customFormat="1" ht="21" customHeight="1" x14ac:dyDescent="0.25">
      <c r="A26" s="39">
        <v>3</v>
      </c>
      <c r="B26" s="364" t="s">
        <v>82</v>
      </c>
      <c r="C26" s="364"/>
      <c r="D26" s="364"/>
      <c r="E26" s="364"/>
      <c r="F26" s="364"/>
      <c r="G26" s="60"/>
      <c r="H26" s="149" t="s">
        <v>112</v>
      </c>
      <c r="I26" s="60" t="s">
        <v>55</v>
      </c>
      <c r="J26" s="59"/>
      <c r="K26" s="142"/>
      <c r="L26" s="59"/>
      <c r="M26" s="59"/>
      <c r="N26" s="59"/>
      <c r="O26" s="59"/>
      <c r="P26" s="59"/>
      <c r="Q26" s="59"/>
      <c r="R26" s="59"/>
      <c r="S26" s="59"/>
    </row>
    <row r="27" spans="1:19" s="36" customFormat="1" ht="23.25" customHeight="1" x14ac:dyDescent="0.25">
      <c r="A27" s="39">
        <v>4</v>
      </c>
      <c r="B27" s="364" t="s">
        <v>65</v>
      </c>
      <c r="C27" s="364"/>
      <c r="D27" s="364"/>
      <c r="E27" s="364"/>
      <c r="F27" s="364"/>
      <c r="G27" s="364"/>
      <c r="H27" s="148" t="s">
        <v>128</v>
      </c>
      <c r="I27" s="60" t="s">
        <v>84</v>
      </c>
      <c r="J27" s="59"/>
      <c r="K27" s="59"/>
      <c r="L27" s="59"/>
      <c r="M27" s="59"/>
      <c r="N27" s="59"/>
      <c r="O27" s="59"/>
      <c r="P27" s="59"/>
      <c r="Q27" s="59"/>
      <c r="R27" s="59"/>
      <c r="S27" s="59"/>
    </row>
    <row r="28" spans="1:19" s="41" customFormat="1" x14ac:dyDescent="0.25">
      <c r="A28" s="39" t="s">
        <v>88</v>
      </c>
      <c r="B28" s="364" t="s">
        <v>87</v>
      </c>
      <c r="C28" s="364"/>
      <c r="D28" s="364"/>
      <c r="E28" s="364"/>
      <c r="F28" s="364"/>
      <c r="G28" s="364"/>
      <c r="H28" s="364"/>
      <c r="I28" s="364"/>
    </row>
    <row r="29" spans="1:19" s="40" customFormat="1" ht="20.25" customHeight="1" x14ac:dyDescent="0.25">
      <c r="A29" s="39" t="s">
        <v>4</v>
      </c>
      <c r="B29" s="360" t="s">
        <v>24</v>
      </c>
      <c r="C29" s="360"/>
      <c r="D29" s="360"/>
      <c r="E29" s="360"/>
      <c r="F29" s="360"/>
      <c r="G29" s="360"/>
      <c r="H29" s="360"/>
      <c r="I29" s="360"/>
      <c r="J29" s="41"/>
      <c r="K29" s="41"/>
      <c r="L29" s="41"/>
      <c r="M29" s="41"/>
      <c r="N29" s="41"/>
      <c r="O29" s="41"/>
      <c r="P29" s="41"/>
      <c r="Q29" s="41"/>
      <c r="R29" s="41"/>
      <c r="S29" s="41"/>
    </row>
    <row r="30" spans="1:19" s="24" customFormat="1" ht="32.25" customHeight="1" x14ac:dyDescent="0.25">
      <c r="A30" s="351" t="s">
        <v>25</v>
      </c>
      <c r="B30" s="353" t="s">
        <v>26</v>
      </c>
      <c r="C30" s="354"/>
      <c r="D30" s="354"/>
      <c r="E30" s="354"/>
      <c r="F30" s="354"/>
      <c r="G30" s="354"/>
      <c r="H30" s="354"/>
      <c r="I30" s="355"/>
    </row>
    <row r="31" spans="1:19" s="25" customFormat="1" ht="49.5" x14ac:dyDescent="0.25">
      <c r="A31" s="352"/>
      <c r="B31" s="353" t="s">
        <v>27</v>
      </c>
      <c r="C31" s="355"/>
      <c r="D31" s="21" t="s">
        <v>28</v>
      </c>
      <c r="E31" s="22" t="s">
        <v>29</v>
      </c>
      <c r="F31" s="22" t="s">
        <v>30</v>
      </c>
      <c r="G31" s="21" t="s">
        <v>31</v>
      </c>
      <c r="H31" s="22" t="s">
        <v>104</v>
      </c>
      <c r="I31" s="22" t="s">
        <v>33</v>
      </c>
    </row>
    <row r="32" spans="1:19" s="62" customFormat="1" ht="18.75" customHeight="1" x14ac:dyDescent="0.25">
      <c r="A32" s="61">
        <v>1</v>
      </c>
      <c r="B32" s="356">
        <v>2</v>
      </c>
      <c r="C32" s="357"/>
      <c r="D32" s="61">
        <v>3</v>
      </c>
      <c r="E32" s="61">
        <v>4</v>
      </c>
      <c r="F32" s="61">
        <v>5</v>
      </c>
      <c r="G32" s="61">
        <v>6</v>
      </c>
      <c r="H32" s="61">
        <v>7</v>
      </c>
      <c r="I32" s="61">
        <v>8</v>
      </c>
    </row>
    <row r="33" spans="1:9" s="68" customFormat="1" ht="39" customHeight="1" x14ac:dyDescent="0.25">
      <c r="A33" s="63">
        <v>1</v>
      </c>
      <c r="B33" s="358" t="s">
        <v>563</v>
      </c>
      <c r="C33" s="359"/>
      <c r="D33" s="64" t="s">
        <v>106</v>
      </c>
      <c r="E33" s="65">
        <f>C22</f>
        <v>49.1</v>
      </c>
      <c r="F33" s="63"/>
      <c r="G33" s="66"/>
      <c r="H33" s="166">
        <f>E33*F33*G33</f>
        <v>0</v>
      </c>
      <c r="I33" s="67"/>
    </row>
    <row r="34" spans="1:9" s="71" customFormat="1" ht="30.75" customHeight="1" x14ac:dyDescent="0.25">
      <c r="A34" s="69"/>
      <c r="B34" s="349" t="s">
        <v>34</v>
      </c>
      <c r="C34" s="350"/>
      <c r="D34" s="69"/>
      <c r="E34" s="69"/>
      <c r="F34" s="69"/>
      <c r="G34" s="69"/>
      <c r="H34" s="169">
        <f>SUM(H33:H33)</f>
        <v>0</v>
      </c>
      <c r="I34" s="69"/>
    </row>
    <row r="35" spans="1:9" ht="9" customHeight="1" x14ac:dyDescent="0.25">
      <c r="A35" s="77"/>
      <c r="B35" s="72"/>
      <c r="C35" s="72"/>
      <c r="D35" s="73"/>
      <c r="E35" s="73"/>
      <c r="F35" s="73"/>
      <c r="G35" s="73"/>
      <c r="H35" s="73"/>
      <c r="I35" s="73"/>
    </row>
    <row r="36" spans="1:9" ht="21" customHeight="1" x14ac:dyDescent="0.25">
      <c r="A36" s="75" t="s">
        <v>9</v>
      </c>
      <c r="B36" s="360" t="s">
        <v>35</v>
      </c>
      <c r="C36" s="360"/>
      <c r="D36" s="360"/>
      <c r="E36" s="360"/>
      <c r="F36" s="360"/>
      <c r="G36" s="360"/>
      <c r="H36" s="360"/>
      <c r="I36" s="360"/>
    </row>
    <row r="37" spans="1:9" s="23" customFormat="1" ht="49.5" x14ac:dyDescent="0.25">
      <c r="A37" s="29" t="s">
        <v>25</v>
      </c>
      <c r="B37" s="353" t="s">
        <v>27</v>
      </c>
      <c r="C37" s="355"/>
      <c r="D37" s="21" t="s">
        <v>28</v>
      </c>
      <c r="E37" s="22" t="s">
        <v>29</v>
      </c>
      <c r="F37" s="22" t="s">
        <v>30</v>
      </c>
      <c r="G37" s="21" t="s">
        <v>31</v>
      </c>
      <c r="H37" s="22" t="s">
        <v>32</v>
      </c>
      <c r="I37" s="22" t="s">
        <v>33</v>
      </c>
    </row>
    <row r="38" spans="1:9" s="62" customFormat="1" ht="18" customHeight="1" x14ac:dyDescent="0.25">
      <c r="A38" s="61">
        <v>1</v>
      </c>
      <c r="B38" s="356">
        <v>2</v>
      </c>
      <c r="C38" s="357"/>
      <c r="D38" s="61">
        <v>3</v>
      </c>
      <c r="E38" s="61">
        <v>4</v>
      </c>
      <c r="F38" s="61">
        <v>5</v>
      </c>
      <c r="G38" s="61">
        <v>6</v>
      </c>
      <c r="H38" s="61">
        <v>7</v>
      </c>
      <c r="I38" s="61">
        <v>8</v>
      </c>
    </row>
    <row r="39" spans="1:9" ht="37.5" customHeight="1" x14ac:dyDescent="0.25">
      <c r="A39" s="26">
        <v>1</v>
      </c>
      <c r="B39" s="353"/>
      <c r="C39" s="355"/>
      <c r="D39" s="27"/>
      <c r="E39" s="22"/>
      <c r="F39" s="27"/>
      <c r="G39" s="27"/>
      <c r="H39" s="27"/>
      <c r="I39" s="26" t="s">
        <v>36</v>
      </c>
    </row>
    <row r="40" spans="1:9" s="71" customFormat="1" ht="25.5" customHeight="1" x14ac:dyDescent="0.25">
      <c r="A40" s="69"/>
      <c r="B40" s="349" t="s">
        <v>34</v>
      </c>
      <c r="C40" s="350"/>
      <c r="D40" s="74"/>
      <c r="E40" s="69"/>
      <c r="F40" s="74"/>
      <c r="G40" s="74"/>
      <c r="H40" s="74"/>
      <c r="I40" s="69"/>
    </row>
    <row r="41" spans="1:9" x14ac:dyDescent="0.25">
      <c r="A41" s="124"/>
      <c r="B41" s="75"/>
      <c r="C41" s="75"/>
      <c r="D41" s="76"/>
      <c r="E41" s="75"/>
      <c r="F41" s="76"/>
      <c r="G41" s="76"/>
      <c r="H41" s="76"/>
      <c r="I41" s="75"/>
    </row>
    <row r="42" spans="1:9" x14ac:dyDescent="0.25">
      <c r="A42" s="324"/>
      <c r="B42" s="327" t="s">
        <v>37</v>
      </c>
      <c r="C42" s="328"/>
      <c r="D42" s="328"/>
      <c r="E42" s="328"/>
      <c r="F42" s="328"/>
      <c r="G42" s="329"/>
      <c r="H42" s="27"/>
      <c r="I42" s="26" t="s">
        <v>74</v>
      </c>
    </row>
    <row r="43" spans="1:9" x14ac:dyDescent="0.25">
      <c r="A43" s="325"/>
      <c r="B43" s="330" t="s">
        <v>38</v>
      </c>
      <c r="C43" s="331"/>
      <c r="D43" s="331"/>
      <c r="E43" s="331"/>
      <c r="F43" s="331"/>
      <c r="G43" s="332"/>
      <c r="H43" s="27"/>
      <c r="I43" s="26" t="s">
        <v>74</v>
      </c>
    </row>
    <row r="44" spans="1:9" x14ac:dyDescent="0.25">
      <c r="A44" s="326"/>
      <c r="B44" s="333" t="s">
        <v>39</v>
      </c>
      <c r="C44" s="334"/>
      <c r="D44" s="334"/>
      <c r="E44" s="334"/>
      <c r="F44" s="334"/>
      <c r="G44" s="335"/>
      <c r="H44" s="27"/>
      <c r="I44" s="26" t="s">
        <v>74</v>
      </c>
    </row>
    <row r="45" spans="1:9" ht="6.75" customHeight="1" x14ac:dyDescent="0.25">
      <c r="A45" s="77"/>
      <c r="B45" s="72"/>
      <c r="C45" s="72"/>
      <c r="D45" s="72"/>
      <c r="E45" s="78"/>
      <c r="F45" s="72"/>
      <c r="G45" s="72"/>
      <c r="H45" s="79"/>
      <c r="I45" s="79"/>
    </row>
    <row r="46" spans="1:9" ht="21" customHeight="1" x14ac:dyDescent="0.25">
      <c r="A46" s="125" t="s">
        <v>22</v>
      </c>
      <c r="B46" s="376" t="s">
        <v>40</v>
      </c>
      <c r="C46" s="376"/>
      <c r="D46" s="376"/>
      <c r="E46" s="376"/>
      <c r="F46" s="376"/>
      <c r="G46" s="376"/>
      <c r="H46" s="80"/>
      <c r="I46" s="81"/>
    </row>
    <row r="47" spans="1:9" s="30" customFormat="1" ht="49.5" x14ac:dyDescent="0.25">
      <c r="A47" s="21" t="s">
        <v>25</v>
      </c>
      <c r="B47" s="21" t="s">
        <v>41</v>
      </c>
      <c r="C47" s="21" t="s">
        <v>28</v>
      </c>
      <c r="D47" s="21" t="s">
        <v>42</v>
      </c>
      <c r="E47" s="21" t="s">
        <v>43</v>
      </c>
      <c r="F47" s="22" t="s">
        <v>30</v>
      </c>
      <c r="G47" s="21" t="s">
        <v>31</v>
      </c>
      <c r="H47" s="21" t="s">
        <v>45</v>
      </c>
      <c r="I47" s="21" t="s">
        <v>33</v>
      </c>
    </row>
    <row r="48" spans="1:9" s="83" customFormat="1" ht="18" customHeight="1" x14ac:dyDescent="0.25">
      <c r="A48" s="82">
        <v>1</v>
      </c>
      <c r="B48" s="82">
        <v>2</v>
      </c>
      <c r="C48" s="82">
        <v>3</v>
      </c>
      <c r="D48" s="82">
        <v>4</v>
      </c>
      <c r="E48" s="82">
        <v>5</v>
      </c>
      <c r="F48" s="82">
        <v>6</v>
      </c>
      <c r="G48" s="82">
        <v>7</v>
      </c>
      <c r="H48" s="82">
        <v>8</v>
      </c>
      <c r="I48" s="82">
        <v>9</v>
      </c>
    </row>
    <row r="49" spans="1:9" s="89" customFormat="1" ht="30" customHeight="1" x14ac:dyDescent="0.25">
      <c r="A49" s="21" t="s">
        <v>46</v>
      </c>
      <c r="B49" s="84" t="s">
        <v>47</v>
      </c>
      <c r="C49" s="85"/>
      <c r="D49" s="85"/>
      <c r="E49" s="86"/>
      <c r="F49" s="85"/>
      <c r="G49" s="85"/>
      <c r="H49" s="167">
        <f>SUM(H50:H64)</f>
        <v>0</v>
      </c>
      <c r="I49" s="88"/>
    </row>
    <row r="50" spans="1:9" s="89" customFormat="1" ht="25.15" customHeight="1" x14ac:dyDescent="0.25">
      <c r="A50" s="90">
        <v>1</v>
      </c>
      <c r="B50" s="91" t="s">
        <v>90</v>
      </c>
      <c r="C50" s="64" t="s">
        <v>106</v>
      </c>
      <c r="D50" s="90" t="s">
        <v>444</v>
      </c>
      <c r="E50" s="92">
        <f>4.65*9.3</f>
        <v>43.245000000000005</v>
      </c>
      <c r="F50" s="93"/>
      <c r="G50" s="93"/>
      <c r="H50" s="159"/>
      <c r="I50" s="347" t="s">
        <v>110</v>
      </c>
    </row>
    <row r="51" spans="1:9" s="89" customFormat="1" ht="25.15" customHeight="1" x14ac:dyDescent="0.25">
      <c r="A51" s="90">
        <v>2</v>
      </c>
      <c r="B51" s="91" t="s">
        <v>445</v>
      </c>
      <c r="C51" s="64" t="s">
        <v>106</v>
      </c>
      <c r="D51" s="90" t="s">
        <v>446</v>
      </c>
      <c r="E51" s="92">
        <f>4.65*2.78</f>
        <v>12.927</v>
      </c>
      <c r="F51" s="93"/>
      <c r="G51" s="93"/>
      <c r="H51" s="159"/>
      <c r="I51" s="348"/>
    </row>
    <row r="52" spans="1:9" s="89" customFormat="1" ht="25.15" customHeight="1" x14ac:dyDescent="0.25">
      <c r="A52" s="244">
        <v>3</v>
      </c>
      <c r="B52" s="91" t="s">
        <v>447</v>
      </c>
      <c r="C52" s="64" t="s">
        <v>448</v>
      </c>
      <c r="D52" s="244" t="s">
        <v>449</v>
      </c>
      <c r="E52" s="231">
        <f>(0.35*0.45*2.55)*2</f>
        <v>0.80324999999999991</v>
      </c>
      <c r="F52" s="93"/>
      <c r="G52" s="93"/>
      <c r="H52" s="159"/>
      <c r="I52" s="348"/>
    </row>
    <row r="53" spans="1:9" s="89" customFormat="1" ht="25.15" customHeight="1" x14ac:dyDescent="0.25">
      <c r="A53" s="244">
        <v>4</v>
      </c>
      <c r="B53" s="91" t="s">
        <v>95</v>
      </c>
      <c r="C53" s="64" t="s">
        <v>92</v>
      </c>
      <c r="D53" s="90" t="s">
        <v>396</v>
      </c>
      <c r="E53" s="92">
        <v>12</v>
      </c>
      <c r="F53" s="93"/>
      <c r="G53" s="93"/>
      <c r="H53" s="159"/>
      <c r="I53" s="348"/>
    </row>
    <row r="54" spans="1:9" s="89" customFormat="1" ht="27.75" customHeight="1" x14ac:dyDescent="0.25">
      <c r="A54" s="90">
        <v>5</v>
      </c>
      <c r="B54" s="132" t="s">
        <v>450</v>
      </c>
      <c r="C54" s="64" t="s">
        <v>106</v>
      </c>
      <c r="D54" s="96"/>
      <c r="E54" s="92"/>
      <c r="F54" s="93"/>
      <c r="G54" s="93"/>
      <c r="H54" s="159"/>
      <c r="I54" s="348"/>
    </row>
    <row r="55" spans="1:9" s="89" customFormat="1" ht="53.25" customHeight="1" x14ac:dyDescent="0.25">
      <c r="A55" s="244" t="s">
        <v>152</v>
      </c>
      <c r="B55" s="132" t="s">
        <v>451</v>
      </c>
      <c r="C55" s="64" t="s">
        <v>106</v>
      </c>
      <c r="D55" s="96" t="s">
        <v>452</v>
      </c>
      <c r="E55" s="234">
        <f>4.65*18.73</f>
        <v>87.094500000000011</v>
      </c>
      <c r="F55" s="93"/>
      <c r="G55" s="93"/>
      <c r="H55" s="159"/>
      <c r="I55" s="348"/>
    </row>
    <row r="56" spans="1:9" s="89" customFormat="1" ht="34.5" customHeight="1" x14ac:dyDescent="0.25">
      <c r="A56" s="244"/>
      <c r="B56" s="132" t="s">
        <v>109</v>
      </c>
      <c r="C56" s="64" t="s">
        <v>106</v>
      </c>
      <c r="D56" s="96" t="s">
        <v>453</v>
      </c>
      <c r="E56" s="235">
        <f>(7.93+8.06)/2*4.65</f>
        <v>37.176750000000006</v>
      </c>
      <c r="F56" s="93"/>
      <c r="G56" s="93"/>
      <c r="H56" s="159"/>
      <c r="I56" s="348"/>
    </row>
    <row r="57" spans="1:9" s="89" customFormat="1" ht="32.25" customHeight="1" x14ac:dyDescent="0.25">
      <c r="A57" s="244"/>
      <c r="B57" s="132" t="s">
        <v>120</v>
      </c>
      <c r="C57" s="64" t="s">
        <v>106</v>
      </c>
      <c r="D57" s="96"/>
      <c r="E57" s="235">
        <f>E55-E56</f>
        <v>49.917750000000005</v>
      </c>
      <c r="F57" s="93"/>
      <c r="G57" s="93"/>
      <c r="H57" s="159"/>
      <c r="I57" s="348"/>
    </row>
    <row r="58" spans="1:9" s="89" customFormat="1" ht="53.25" customHeight="1" x14ac:dyDescent="0.25">
      <c r="A58" s="244" t="s">
        <v>153</v>
      </c>
      <c r="B58" s="132" t="s">
        <v>454</v>
      </c>
      <c r="C58" s="64" t="s">
        <v>106</v>
      </c>
      <c r="D58" s="96" t="s">
        <v>455</v>
      </c>
      <c r="E58" s="234">
        <f>E55+(1.2*4.65)</f>
        <v>92.674500000000009</v>
      </c>
      <c r="F58" s="93"/>
      <c r="G58" s="93"/>
      <c r="H58" s="159"/>
      <c r="I58" s="348"/>
    </row>
    <row r="59" spans="1:9" s="89" customFormat="1" ht="52.5" customHeight="1" x14ac:dyDescent="0.25">
      <c r="A59" s="244"/>
      <c r="B59" s="132" t="s">
        <v>109</v>
      </c>
      <c r="C59" s="64" t="s">
        <v>106</v>
      </c>
      <c r="D59" s="96" t="s">
        <v>456</v>
      </c>
      <c r="E59" s="234">
        <v>42.78</v>
      </c>
      <c r="F59" s="93"/>
      <c r="G59" s="93"/>
      <c r="H59" s="159"/>
      <c r="I59" s="348"/>
    </row>
    <row r="60" spans="1:9" s="89" customFormat="1" ht="35.450000000000003" customHeight="1" x14ac:dyDescent="0.25">
      <c r="A60" s="244"/>
      <c r="B60" s="132" t="s">
        <v>120</v>
      </c>
      <c r="C60" s="64" t="s">
        <v>106</v>
      </c>
      <c r="D60" s="96"/>
      <c r="E60" s="234">
        <f>E58-E59</f>
        <v>49.894500000000008</v>
      </c>
      <c r="F60" s="93"/>
      <c r="G60" s="93"/>
      <c r="H60" s="159"/>
      <c r="I60" s="348"/>
    </row>
    <row r="61" spans="1:9" s="89" customFormat="1" ht="66" x14ac:dyDescent="0.25">
      <c r="A61" s="244" t="s">
        <v>157</v>
      </c>
      <c r="B61" s="132" t="s">
        <v>457</v>
      </c>
      <c r="C61" s="64" t="s">
        <v>106</v>
      </c>
      <c r="D61" s="96" t="s">
        <v>458</v>
      </c>
      <c r="E61" s="96">
        <f>(4.65*7)+(4.65*1.2)</f>
        <v>38.130000000000003</v>
      </c>
      <c r="F61" s="93"/>
      <c r="G61" s="93"/>
      <c r="H61" s="159"/>
      <c r="I61" s="348"/>
    </row>
    <row r="62" spans="1:9" s="89" customFormat="1" ht="57" customHeight="1" x14ac:dyDescent="0.25">
      <c r="A62" s="90"/>
      <c r="B62" s="132" t="s">
        <v>459</v>
      </c>
      <c r="C62" s="64" t="s">
        <v>106</v>
      </c>
      <c r="D62" s="90" t="s">
        <v>460</v>
      </c>
      <c r="E62" s="231">
        <f>4.65*11.73</f>
        <v>54.544500000000006</v>
      </c>
      <c r="F62" s="93"/>
      <c r="G62" s="93"/>
      <c r="H62" s="159"/>
      <c r="I62" s="348"/>
    </row>
    <row r="63" spans="1:9" s="89" customFormat="1" ht="36.6" customHeight="1" x14ac:dyDescent="0.25">
      <c r="A63" s="244"/>
      <c r="B63" s="132" t="s">
        <v>120</v>
      </c>
      <c r="C63" s="64" t="s">
        <v>106</v>
      </c>
      <c r="D63" s="96" t="s">
        <v>461</v>
      </c>
      <c r="E63" s="249">
        <f>E60</f>
        <v>49.894500000000008</v>
      </c>
      <c r="F63" s="93"/>
      <c r="G63" s="93"/>
      <c r="H63" s="159"/>
      <c r="I63" s="348"/>
    </row>
    <row r="64" spans="1:9" s="89" customFormat="1" ht="41.25" customHeight="1" x14ac:dyDescent="0.25">
      <c r="A64" s="90"/>
      <c r="B64" s="132" t="s">
        <v>109</v>
      </c>
      <c r="C64" s="64" t="s">
        <v>106</v>
      </c>
      <c r="D64" s="96"/>
      <c r="E64" s="92">
        <f>E62-E63</f>
        <v>4.6499999999999986</v>
      </c>
      <c r="F64" s="93"/>
      <c r="G64" s="93"/>
      <c r="H64" s="159"/>
      <c r="I64" s="348"/>
    </row>
    <row r="65" spans="1:12" s="89" customFormat="1" ht="25.5" customHeight="1" x14ac:dyDescent="0.25">
      <c r="A65" s="21" t="s">
        <v>48</v>
      </c>
      <c r="B65" s="84" t="s">
        <v>49</v>
      </c>
      <c r="C65" s="85"/>
      <c r="D65" s="85"/>
      <c r="E65" s="92"/>
      <c r="F65" s="85"/>
      <c r="G65" s="85"/>
      <c r="H65" s="167">
        <f>SUM(H66:H66)</f>
        <v>0</v>
      </c>
      <c r="I65" s="95"/>
    </row>
    <row r="66" spans="1:12" s="89" customFormat="1" ht="27" customHeight="1" x14ac:dyDescent="0.25">
      <c r="A66" s="90"/>
      <c r="B66" s="186"/>
      <c r="C66" s="200"/>
      <c r="D66" s="90"/>
      <c r="E66" s="92"/>
      <c r="F66" s="85"/>
      <c r="G66" s="85"/>
      <c r="H66" s="201"/>
      <c r="I66" s="156"/>
    </row>
    <row r="67" spans="1:12" s="102" customFormat="1" ht="31.5" customHeight="1" x14ac:dyDescent="0.25">
      <c r="A67" s="126"/>
      <c r="B67" s="100" t="s">
        <v>50</v>
      </c>
      <c r="C67" s="100"/>
      <c r="D67" s="100"/>
      <c r="E67" s="100"/>
      <c r="F67" s="100"/>
      <c r="G67" s="100"/>
      <c r="H67" s="158">
        <f>H49+H65</f>
        <v>0</v>
      </c>
      <c r="I67" s="101"/>
    </row>
    <row r="68" spans="1:12" ht="22.5" customHeight="1" x14ac:dyDescent="0.25">
      <c r="A68" s="127">
        <v>4</v>
      </c>
      <c r="B68" s="337" t="s">
        <v>51</v>
      </c>
      <c r="C68" s="337"/>
      <c r="D68" s="337"/>
      <c r="E68" s="337"/>
      <c r="F68" s="337"/>
      <c r="G68" s="337"/>
      <c r="H68" s="51"/>
      <c r="I68" s="51"/>
    </row>
    <row r="69" spans="1:12" s="104" customFormat="1" ht="49.5" x14ac:dyDescent="0.25">
      <c r="A69" s="103" t="s">
        <v>25</v>
      </c>
      <c r="B69" s="338" t="s">
        <v>52</v>
      </c>
      <c r="C69" s="339"/>
      <c r="D69" s="21" t="s">
        <v>29</v>
      </c>
      <c r="E69" s="21" t="s">
        <v>53</v>
      </c>
      <c r="F69" s="21" t="s">
        <v>44</v>
      </c>
      <c r="G69" s="21" t="s">
        <v>54</v>
      </c>
      <c r="H69" s="21" t="s">
        <v>45</v>
      </c>
      <c r="I69" s="21" t="s">
        <v>33</v>
      </c>
    </row>
    <row r="70" spans="1:12" ht="28.5" customHeight="1" x14ac:dyDescent="0.25">
      <c r="A70" s="105"/>
      <c r="B70" s="340"/>
      <c r="C70" s="341"/>
      <c r="D70" s="106"/>
      <c r="E70" s="105"/>
      <c r="F70" s="107"/>
      <c r="G70" s="108"/>
      <c r="H70" s="108"/>
      <c r="I70" s="109"/>
      <c r="L70" s="110"/>
    </row>
    <row r="71" spans="1:12" s="112" customFormat="1" ht="27.75" customHeight="1" x14ac:dyDescent="0.25">
      <c r="A71" s="126"/>
      <c r="B71" s="342" t="s">
        <v>34</v>
      </c>
      <c r="C71" s="343"/>
      <c r="D71" s="100"/>
      <c r="E71" s="100"/>
      <c r="F71" s="100"/>
      <c r="G71" s="100"/>
      <c r="H71" s="163">
        <f>SUM(H70)</f>
        <v>0</v>
      </c>
      <c r="I71" s="111"/>
      <c r="L71" s="113"/>
    </row>
    <row r="72" spans="1:12" s="115" customFormat="1" ht="27.75" customHeight="1" x14ac:dyDescent="0.25">
      <c r="A72" s="128">
        <v>5</v>
      </c>
      <c r="B72" s="344" t="s">
        <v>56</v>
      </c>
      <c r="C72" s="344"/>
      <c r="D72" s="344"/>
      <c r="E72" s="344"/>
      <c r="F72" s="344"/>
      <c r="G72" s="345"/>
      <c r="H72" s="164">
        <f>H71+H67+H40+H34</f>
        <v>0</v>
      </c>
      <c r="I72" s="114" t="s">
        <v>57</v>
      </c>
    </row>
    <row r="73" spans="1:12" s="117" customFormat="1" ht="17.25" x14ac:dyDescent="0.25">
      <c r="A73" s="129"/>
      <c r="B73" s="116" t="s">
        <v>78</v>
      </c>
      <c r="C73" s="346" t="s">
        <v>91</v>
      </c>
      <c r="D73" s="346"/>
      <c r="E73" s="346"/>
      <c r="F73" s="346"/>
      <c r="G73" s="346"/>
      <c r="H73" s="346"/>
      <c r="I73" s="346"/>
    </row>
    <row r="74" spans="1:12" s="41" customFormat="1" ht="17.25" hidden="1" x14ac:dyDescent="0.3">
      <c r="A74" s="39"/>
      <c r="B74" s="118"/>
      <c r="E74" s="119"/>
      <c r="F74" s="316" t="s">
        <v>75</v>
      </c>
      <c r="G74" s="316"/>
      <c r="H74" s="316"/>
      <c r="I74" s="316"/>
    </row>
    <row r="75" spans="1:12" hidden="1" x14ac:dyDescent="0.25">
      <c r="F75" s="316" t="s">
        <v>76</v>
      </c>
      <c r="G75" s="316"/>
      <c r="H75" s="316"/>
      <c r="I75" s="316"/>
    </row>
    <row r="76" spans="1:12" hidden="1" x14ac:dyDescent="0.25">
      <c r="F76" s="317"/>
      <c r="G76" s="317"/>
      <c r="H76" s="317"/>
      <c r="I76" s="317"/>
    </row>
    <row r="77" spans="1:12" hidden="1" x14ac:dyDescent="0.25"/>
    <row r="78" spans="1:12" hidden="1" x14ac:dyDescent="0.25"/>
    <row r="79" spans="1:12" hidden="1" x14ac:dyDescent="0.25"/>
    <row r="80" spans="1:12" hidden="1" x14ac:dyDescent="0.25"/>
    <row r="81" spans="1:9" hidden="1" x14ac:dyDescent="0.25"/>
    <row r="82" spans="1:9" hidden="1" x14ac:dyDescent="0.25">
      <c r="F82" s="318" t="s">
        <v>77</v>
      </c>
      <c r="G82" s="318"/>
      <c r="H82" s="318"/>
      <c r="I82" s="318"/>
    </row>
    <row r="83" spans="1:9" ht="65.25" customHeight="1" x14ac:dyDescent="0.25">
      <c r="A83" s="319" t="s">
        <v>100</v>
      </c>
      <c r="B83" s="319"/>
      <c r="C83" s="319"/>
      <c r="D83" s="319"/>
      <c r="E83" s="319"/>
      <c r="F83" s="319"/>
      <c r="G83" s="319"/>
      <c r="H83" s="319"/>
      <c r="I83" s="319"/>
    </row>
    <row r="84" spans="1:9" x14ac:dyDescent="0.25">
      <c r="A84" s="315" t="s">
        <v>102</v>
      </c>
      <c r="B84" s="315"/>
      <c r="C84" s="315"/>
      <c r="D84" s="315"/>
      <c r="E84" s="315"/>
      <c r="F84" s="315"/>
      <c r="G84" s="315"/>
      <c r="H84" s="315"/>
      <c r="I84" s="315"/>
    </row>
    <row r="85" spans="1:9" x14ac:dyDescent="0.25">
      <c r="A85" s="320" t="s">
        <v>107</v>
      </c>
      <c r="B85" s="320"/>
      <c r="C85" s="320"/>
      <c r="D85" s="321"/>
      <c r="E85" s="322" t="s">
        <v>108</v>
      </c>
      <c r="F85" s="323"/>
      <c r="G85" s="323"/>
      <c r="H85" s="323"/>
      <c r="I85" s="323"/>
    </row>
    <row r="86" spans="1:9" x14ac:dyDescent="0.25">
      <c r="A86" s="320"/>
      <c r="B86" s="320"/>
      <c r="C86" s="320"/>
      <c r="D86" s="321"/>
      <c r="E86" s="322"/>
      <c r="F86" s="323"/>
      <c r="G86" s="323"/>
      <c r="H86" s="323"/>
      <c r="I86" s="323"/>
    </row>
    <row r="87" spans="1:9" x14ac:dyDescent="0.25">
      <c r="A87" s="320"/>
      <c r="B87" s="320"/>
      <c r="C87" s="320"/>
      <c r="D87" s="321"/>
      <c r="E87" s="38"/>
      <c r="I87" s="20"/>
    </row>
    <row r="88" spans="1:9" x14ac:dyDescent="0.25">
      <c r="A88" s="315" t="s">
        <v>101</v>
      </c>
      <c r="B88" s="315"/>
      <c r="C88" s="315"/>
      <c r="D88" s="315"/>
      <c r="E88" s="315"/>
      <c r="F88" s="315"/>
      <c r="G88" s="315"/>
      <c r="H88" s="315"/>
      <c r="I88" s="315"/>
    </row>
  </sheetData>
  <mergeCells count="57">
    <mergeCell ref="A1:D1"/>
    <mergeCell ref="E1:I1"/>
    <mergeCell ref="A2:D2"/>
    <mergeCell ref="E2:I2"/>
    <mergeCell ref="A4:C4"/>
    <mergeCell ref="E4:I4"/>
    <mergeCell ref="A5:I5"/>
    <mergeCell ref="A6:I6"/>
    <mergeCell ref="A7:I7"/>
    <mergeCell ref="B8:I8"/>
    <mergeCell ref="B9:E9"/>
    <mergeCell ref="F9:I9"/>
    <mergeCell ref="B28:I28"/>
    <mergeCell ref="C10:I10"/>
    <mergeCell ref="C11:I11"/>
    <mergeCell ref="F13:I13"/>
    <mergeCell ref="C14:I14"/>
    <mergeCell ref="C15:I15"/>
    <mergeCell ref="B17:I17"/>
    <mergeCell ref="D19:E19"/>
    <mergeCell ref="C24:I24"/>
    <mergeCell ref="C25:I25"/>
    <mergeCell ref="B26:F26"/>
    <mergeCell ref="B27:G27"/>
    <mergeCell ref="B40:C40"/>
    <mergeCell ref="B29:I29"/>
    <mergeCell ref="A30:A31"/>
    <mergeCell ref="B30:I30"/>
    <mergeCell ref="B31:C31"/>
    <mergeCell ref="B32:C32"/>
    <mergeCell ref="B33:C33"/>
    <mergeCell ref="B34:C34"/>
    <mergeCell ref="B36:I36"/>
    <mergeCell ref="B37:C37"/>
    <mergeCell ref="B38:C38"/>
    <mergeCell ref="B39:C39"/>
    <mergeCell ref="C73:I73"/>
    <mergeCell ref="A42:A44"/>
    <mergeCell ref="B42:G42"/>
    <mergeCell ref="B43:G43"/>
    <mergeCell ref="B44:G44"/>
    <mergeCell ref="B46:G46"/>
    <mergeCell ref="I50:I64"/>
    <mergeCell ref="B68:G68"/>
    <mergeCell ref="B69:C69"/>
    <mergeCell ref="B70:C70"/>
    <mergeCell ref="B71:C71"/>
    <mergeCell ref="B72:G72"/>
    <mergeCell ref="A85:D87"/>
    <mergeCell ref="E85:I86"/>
    <mergeCell ref="A88:I88"/>
    <mergeCell ref="F74:I74"/>
    <mergeCell ref="F75:I75"/>
    <mergeCell ref="F76:I76"/>
    <mergeCell ref="F82:I82"/>
    <mergeCell ref="A83:I83"/>
    <mergeCell ref="A84:I84"/>
  </mergeCells>
  <printOptions horizontalCentered="1"/>
  <pageMargins left="0.15748031496062992" right="0.15748031496062992" top="0.19685039370078741" bottom="0.15748031496062992" header="0.19685039370078741" footer="0.15748031496062992"/>
  <pageSetup paperSize="9" scale="80" orientation="portrait" r:id="rId1"/>
  <drawing r:id="rId2"/>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31" workbookViewId="0">
      <selection activeCell="B33" sqref="B33:C33"/>
    </sheetView>
  </sheetViews>
  <sheetFormatPr defaultColWidth="9.140625" defaultRowHeight="16.5" x14ac:dyDescent="0.25"/>
  <cols>
    <col min="1" max="1" width="4.28515625" style="68" customWidth="1"/>
    <col min="2" max="2" width="27.28515625" style="20" customWidth="1"/>
    <col min="3" max="3" width="8.7109375" style="20" customWidth="1"/>
    <col min="4" max="4" width="22.7109375" style="20" customWidth="1"/>
    <col min="5" max="5" width="9.7109375" style="23" customWidth="1"/>
    <col min="6" max="6" width="12.28515625" style="20" customWidth="1"/>
    <col min="7" max="7" width="9.42578125" style="20" customWidth="1"/>
    <col min="8" max="8" width="15" style="20" customWidth="1"/>
    <col min="9" max="9" width="16" style="120" customWidth="1"/>
    <col min="10" max="11" width="9.140625" style="20"/>
    <col min="12" max="12" width="11.42578125" style="20" customWidth="1"/>
    <col min="13" max="16384" width="9.140625" style="20"/>
  </cols>
  <sheetData>
    <row r="1" spans="1:17" s="36" customFormat="1" x14ac:dyDescent="0.25">
      <c r="A1" s="368" t="s">
        <v>98</v>
      </c>
      <c r="B1" s="368"/>
      <c r="C1" s="368"/>
      <c r="D1" s="368"/>
      <c r="E1" s="368" t="s">
        <v>0</v>
      </c>
      <c r="F1" s="368"/>
      <c r="G1" s="368"/>
      <c r="H1" s="368"/>
      <c r="I1" s="368"/>
    </row>
    <row r="2" spans="1:17" s="36" customFormat="1" x14ac:dyDescent="0.25">
      <c r="A2" s="369" t="s">
        <v>99</v>
      </c>
      <c r="B2" s="369"/>
      <c r="C2" s="369"/>
      <c r="D2" s="369"/>
      <c r="E2" s="369" t="s">
        <v>1</v>
      </c>
      <c r="F2" s="368"/>
      <c r="G2" s="368"/>
      <c r="H2" s="368"/>
      <c r="I2" s="368"/>
    </row>
    <row r="3" spans="1:17" s="36" customFormat="1" ht="20.25" customHeight="1" x14ac:dyDescent="0.25">
      <c r="A3" s="39"/>
      <c r="C3" s="39"/>
      <c r="D3" s="39"/>
      <c r="E3" s="39"/>
      <c r="F3" s="39"/>
      <c r="G3" s="39"/>
      <c r="H3" s="39"/>
      <c r="I3" s="37"/>
    </row>
    <row r="4" spans="1:17" s="36" customFormat="1" ht="23.25" customHeight="1" x14ac:dyDescent="0.25">
      <c r="A4" s="369" t="s">
        <v>89</v>
      </c>
      <c r="B4" s="369"/>
      <c r="C4" s="369"/>
      <c r="E4" s="370" t="s">
        <v>371</v>
      </c>
      <c r="F4" s="370"/>
      <c r="G4" s="370"/>
      <c r="H4" s="370"/>
      <c r="I4" s="370"/>
    </row>
    <row r="5" spans="1:17" s="40" customFormat="1" ht="18.75" customHeight="1" x14ac:dyDescent="0.25">
      <c r="A5" s="371" t="s">
        <v>85</v>
      </c>
      <c r="B5" s="371"/>
      <c r="C5" s="371"/>
      <c r="D5" s="371"/>
      <c r="E5" s="371"/>
      <c r="F5" s="371"/>
      <c r="G5" s="371"/>
      <c r="H5" s="371"/>
      <c r="I5" s="371"/>
    </row>
    <row r="6" spans="1:17" s="40" customFormat="1" ht="39.75" customHeight="1" x14ac:dyDescent="0.25">
      <c r="A6" s="372" t="s">
        <v>86</v>
      </c>
      <c r="B6" s="372"/>
      <c r="C6" s="372"/>
      <c r="D6" s="372"/>
      <c r="E6" s="372"/>
      <c r="F6" s="372"/>
      <c r="G6" s="372"/>
      <c r="H6" s="372"/>
      <c r="I6" s="372"/>
      <c r="Q6" s="41"/>
    </row>
    <row r="7" spans="1:17" s="40" customFormat="1" ht="24" customHeight="1" x14ac:dyDescent="0.25">
      <c r="A7" s="373" t="s">
        <v>166</v>
      </c>
      <c r="B7" s="373"/>
      <c r="C7" s="373"/>
      <c r="D7" s="373"/>
      <c r="E7" s="373"/>
      <c r="F7" s="373"/>
      <c r="G7" s="373"/>
      <c r="H7" s="373"/>
      <c r="I7" s="373"/>
    </row>
    <row r="8" spans="1:17" s="42" customFormat="1" ht="19.899999999999999" customHeight="1" x14ac:dyDescent="0.25">
      <c r="A8" s="121" t="s">
        <v>2</v>
      </c>
      <c r="B8" s="362" t="s">
        <v>3</v>
      </c>
      <c r="C8" s="362"/>
      <c r="D8" s="362"/>
      <c r="E8" s="362"/>
      <c r="F8" s="362"/>
      <c r="G8" s="362"/>
      <c r="H8" s="362"/>
      <c r="I8" s="362"/>
    </row>
    <row r="9" spans="1:17" s="42" customFormat="1" ht="19.899999999999999" customHeight="1" x14ac:dyDescent="0.25">
      <c r="A9" s="121" t="s">
        <v>4</v>
      </c>
      <c r="B9" s="374" t="s">
        <v>5</v>
      </c>
      <c r="C9" s="374"/>
      <c r="D9" s="374"/>
      <c r="E9" s="374"/>
      <c r="F9" s="365" t="s">
        <v>462</v>
      </c>
      <c r="G9" s="365"/>
      <c r="H9" s="365"/>
      <c r="I9" s="365"/>
    </row>
    <row r="10" spans="1:17" s="42" customFormat="1" ht="19.899999999999999" customHeight="1" x14ac:dyDescent="0.25">
      <c r="A10" s="122"/>
      <c r="B10" s="24" t="s">
        <v>6</v>
      </c>
      <c r="C10" s="365" t="s">
        <v>463</v>
      </c>
      <c r="D10" s="365"/>
      <c r="E10" s="365"/>
      <c r="F10" s="365"/>
      <c r="G10" s="365"/>
      <c r="H10" s="365"/>
      <c r="I10" s="365"/>
    </row>
    <row r="11" spans="1:17" s="42" customFormat="1" ht="19.899999999999999" customHeight="1" x14ac:dyDescent="0.25">
      <c r="A11" s="122"/>
      <c r="B11" s="24" t="s">
        <v>7</v>
      </c>
      <c r="C11" s="365" t="s">
        <v>463</v>
      </c>
      <c r="D11" s="365"/>
      <c r="E11" s="365"/>
      <c r="F11" s="365"/>
      <c r="G11" s="365"/>
      <c r="H11" s="365"/>
      <c r="I11" s="365"/>
    </row>
    <row r="12" spans="1:17" s="42" customFormat="1" ht="19.899999999999999" customHeight="1" x14ac:dyDescent="0.25">
      <c r="A12" s="122"/>
      <c r="B12" s="24" t="s">
        <v>11</v>
      </c>
      <c r="C12" s="233" t="s">
        <v>464</v>
      </c>
      <c r="D12" s="233"/>
      <c r="E12" s="233"/>
      <c r="F12" s="43"/>
      <c r="G12" s="43"/>
      <c r="H12" s="43"/>
      <c r="I12" s="43"/>
    </row>
    <row r="13" spans="1:17" s="42" customFormat="1" ht="19.899999999999999" customHeight="1" x14ac:dyDescent="0.25">
      <c r="A13" s="121" t="s">
        <v>9</v>
      </c>
      <c r="B13" s="44" t="s">
        <v>10</v>
      </c>
      <c r="E13" s="43"/>
      <c r="F13" s="362" t="str">
        <f>F9</f>
        <v>Nguyễn Đình Khánh</v>
      </c>
      <c r="G13" s="362"/>
      <c r="H13" s="362"/>
      <c r="I13" s="362"/>
      <c r="J13" s="143"/>
    </row>
    <row r="14" spans="1:17" s="42" customFormat="1" ht="19.899999999999999" customHeight="1" x14ac:dyDescent="0.25">
      <c r="A14" s="122"/>
      <c r="B14" s="24" t="s">
        <v>6</v>
      </c>
      <c r="C14" s="365" t="str">
        <f>+C10</f>
        <v>Thôn Trung Cao - Xã Phú Nghĩa - TP Hà Nội</v>
      </c>
      <c r="D14" s="365"/>
      <c r="E14" s="365"/>
      <c r="F14" s="365"/>
      <c r="G14" s="365"/>
      <c r="H14" s="365"/>
      <c r="I14" s="365"/>
    </row>
    <row r="15" spans="1:17" s="42" customFormat="1" ht="19.899999999999999" customHeight="1" x14ac:dyDescent="0.25">
      <c r="A15" s="122"/>
      <c r="B15" s="24" t="s">
        <v>7</v>
      </c>
      <c r="C15" s="365" t="str">
        <f>C11</f>
        <v>Thôn Trung Cao - Xã Phú Nghĩa - TP Hà Nội</v>
      </c>
      <c r="D15" s="365"/>
      <c r="E15" s="365"/>
      <c r="F15" s="365"/>
      <c r="G15" s="365"/>
      <c r="H15" s="365"/>
      <c r="I15" s="365"/>
    </row>
    <row r="16" spans="1:17" s="42" customFormat="1" ht="19.899999999999999" customHeight="1" x14ac:dyDescent="0.25">
      <c r="A16" s="122"/>
      <c r="B16" s="24" t="s">
        <v>11</v>
      </c>
      <c r="C16" s="233" t="str">
        <f>+C12</f>
        <v>001095029142</v>
      </c>
      <c r="D16" s="233"/>
      <c r="E16" s="233"/>
      <c r="F16" s="43"/>
      <c r="G16" s="43"/>
      <c r="H16" s="43"/>
      <c r="I16" s="43"/>
    </row>
    <row r="17" spans="1:19" s="42" customFormat="1" ht="19.899999999999999" customHeight="1" x14ac:dyDescent="0.25">
      <c r="A17" s="121" t="s">
        <v>12</v>
      </c>
      <c r="B17" s="362" t="s">
        <v>13</v>
      </c>
      <c r="C17" s="362"/>
      <c r="D17" s="362"/>
      <c r="E17" s="362"/>
      <c r="F17" s="362"/>
      <c r="G17" s="362"/>
      <c r="H17" s="362"/>
      <c r="I17" s="362"/>
    </row>
    <row r="18" spans="1:19" s="42" customFormat="1" ht="19.899999999999999" customHeight="1" x14ac:dyDescent="0.25">
      <c r="A18" s="121" t="s">
        <v>4</v>
      </c>
      <c r="B18" s="46" t="s">
        <v>14</v>
      </c>
      <c r="E18" s="43"/>
    </row>
    <row r="19" spans="1:19" s="51" customFormat="1" ht="19.899999999999999" customHeight="1" x14ac:dyDescent="0.25">
      <c r="A19" s="123"/>
      <c r="B19" s="47" t="s">
        <v>15</v>
      </c>
      <c r="C19" s="48">
        <v>13</v>
      </c>
      <c r="D19" s="363" t="s">
        <v>16</v>
      </c>
      <c r="E19" s="363"/>
      <c r="F19" s="49" t="s">
        <v>119</v>
      </c>
      <c r="G19" s="50"/>
      <c r="I19" s="50"/>
    </row>
    <row r="20" spans="1:19" s="51" customFormat="1" ht="19.899999999999999" customHeight="1" x14ac:dyDescent="0.25">
      <c r="A20" s="123"/>
      <c r="B20" s="47" t="s">
        <v>17</v>
      </c>
      <c r="C20" s="52">
        <v>131.4</v>
      </c>
      <c r="D20" s="50" t="s">
        <v>105</v>
      </c>
      <c r="E20" s="53"/>
      <c r="F20" s="54"/>
      <c r="H20" s="55"/>
      <c r="I20" s="50"/>
    </row>
    <row r="21" spans="1:19" s="51" customFormat="1" ht="19.899999999999999" customHeight="1" x14ac:dyDescent="0.25">
      <c r="A21" s="123"/>
      <c r="B21" s="56" t="s">
        <v>18</v>
      </c>
      <c r="C21" s="57"/>
      <c r="D21" s="50"/>
      <c r="E21" s="53"/>
      <c r="F21" s="50"/>
      <c r="H21" s="55"/>
      <c r="I21" s="50"/>
    </row>
    <row r="22" spans="1:19" s="51" customFormat="1" ht="19.899999999999999" customHeight="1" x14ac:dyDescent="0.25">
      <c r="A22" s="123"/>
      <c r="B22" s="47" t="s">
        <v>19</v>
      </c>
      <c r="C22" s="52">
        <v>38.4</v>
      </c>
      <c r="D22" s="50" t="s">
        <v>105</v>
      </c>
      <c r="E22" s="53"/>
      <c r="F22" s="50"/>
      <c r="H22" s="55"/>
      <c r="I22" s="50"/>
      <c r="J22" s="133"/>
    </row>
    <row r="23" spans="1:19" s="51" customFormat="1" ht="19.899999999999999" customHeight="1" x14ac:dyDescent="0.25">
      <c r="A23" s="123"/>
      <c r="B23" s="47" t="s">
        <v>20</v>
      </c>
      <c r="C23" s="57">
        <f>C20-C22</f>
        <v>93</v>
      </c>
      <c r="D23" s="50" t="s">
        <v>105</v>
      </c>
      <c r="E23" s="53"/>
      <c r="F23" s="50"/>
      <c r="H23" s="55"/>
      <c r="I23" s="50"/>
      <c r="J23" s="142"/>
    </row>
    <row r="24" spans="1:19" s="42" customFormat="1" ht="22.5" customHeight="1" x14ac:dyDescent="0.25">
      <c r="A24" s="122"/>
      <c r="B24" s="24" t="s">
        <v>21</v>
      </c>
      <c r="C24" s="362" t="s">
        <v>251</v>
      </c>
      <c r="D24" s="362"/>
      <c r="E24" s="362"/>
      <c r="F24" s="362"/>
      <c r="G24" s="362"/>
      <c r="H24" s="362"/>
      <c r="I24" s="362"/>
    </row>
    <row r="25" spans="1:19" s="36" customFormat="1" ht="188.25" customHeight="1" x14ac:dyDescent="0.25">
      <c r="A25" s="39">
        <v>2</v>
      </c>
      <c r="B25" s="58" t="s">
        <v>73</v>
      </c>
      <c r="C25" s="366" t="s">
        <v>588</v>
      </c>
      <c r="D25" s="367"/>
      <c r="E25" s="367"/>
      <c r="F25" s="367"/>
      <c r="G25" s="367"/>
      <c r="H25" s="367"/>
      <c r="I25" s="367"/>
      <c r="J25" s="133"/>
      <c r="K25" s="133"/>
      <c r="L25" s="59"/>
      <c r="M25" s="59"/>
      <c r="N25" s="59"/>
      <c r="O25" s="59"/>
      <c r="P25" s="59"/>
      <c r="Q25" s="59"/>
      <c r="R25" s="59"/>
      <c r="S25" s="59"/>
    </row>
    <row r="26" spans="1:19" s="36" customFormat="1" ht="21" customHeight="1" x14ac:dyDescent="0.25">
      <c r="A26" s="39">
        <v>3</v>
      </c>
      <c r="B26" s="364" t="s">
        <v>82</v>
      </c>
      <c r="C26" s="364"/>
      <c r="D26" s="364"/>
      <c r="E26" s="364"/>
      <c r="F26" s="364"/>
      <c r="G26" s="60"/>
      <c r="H26" s="149">
        <v>0</v>
      </c>
      <c r="I26" s="60" t="s">
        <v>55</v>
      </c>
      <c r="J26" s="59"/>
      <c r="K26" s="142"/>
      <c r="L26" s="59"/>
      <c r="M26" s="59"/>
      <c r="N26" s="59"/>
      <c r="O26" s="59"/>
      <c r="P26" s="59"/>
      <c r="Q26" s="59"/>
      <c r="R26" s="59"/>
      <c r="S26" s="59"/>
    </row>
    <row r="27" spans="1:19" s="36" customFormat="1" ht="23.25" customHeight="1" x14ac:dyDescent="0.25">
      <c r="A27" s="39">
        <v>4</v>
      </c>
      <c r="B27" s="364" t="s">
        <v>65</v>
      </c>
      <c r="C27" s="364"/>
      <c r="D27" s="364"/>
      <c r="E27" s="364"/>
      <c r="F27" s="364"/>
      <c r="G27" s="364"/>
      <c r="H27" s="148">
        <v>0</v>
      </c>
      <c r="I27" s="60" t="s">
        <v>84</v>
      </c>
      <c r="J27" s="59"/>
      <c r="K27" s="59"/>
      <c r="L27" s="59"/>
      <c r="M27" s="59"/>
      <c r="N27" s="59"/>
      <c r="O27" s="59"/>
      <c r="P27" s="59"/>
      <c r="Q27" s="59"/>
      <c r="R27" s="59"/>
      <c r="S27" s="59"/>
    </row>
    <row r="28" spans="1:19" s="41" customFormat="1" x14ac:dyDescent="0.25">
      <c r="A28" s="39" t="s">
        <v>88</v>
      </c>
      <c r="B28" s="364" t="s">
        <v>87</v>
      </c>
      <c r="C28" s="364"/>
      <c r="D28" s="364"/>
      <c r="E28" s="364"/>
      <c r="F28" s="364"/>
      <c r="G28" s="364"/>
      <c r="H28" s="364"/>
      <c r="I28" s="364"/>
    </row>
    <row r="29" spans="1:19" s="40" customFormat="1" ht="20.25" customHeight="1" x14ac:dyDescent="0.25">
      <c r="A29" s="39" t="s">
        <v>4</v>
      </c>
      <c r="B29" s="360" t="s">
        <v>24</v>
      </c>
      <c r="C29" s="360"/>
      <c r="D29" s="360"/>
      <c r="E29" s="360"/>
      <c r="F29" s="360"/>
      <c r="G29" s="360"/>
      <c r="H29" s="360"/>
      <c r="I29" s="360"/>
      <c r="J29" s="41"/>
      <c r="K29" s="41"/>
      <c r="L29" s="41"/>
      <c r="M29" s="41"/>
      <c r="N29" s="41"/>
      <c r="O29" s="41"/>
      <c r="P29" s="41"/>
      <c r="Q29" s="41"/>
      <c r="R29" s="41"/>
      <c r="S29" s="41"/>
    </row>
    <row r="30" spans="1:19" s="24" customFormat="1" ht="32.25" customHeight="1" x14ac:dyDescent="0.25">
      <c r="A30" s="351" t="s">
        <v>25</v>
      </c>
      <c r="B30" s="353" t="s">
        <v>26</v>
      </c>
      <c r="C30" s="354"/>
      <c r="D30" s="354"/>
      <c r="E30" s="354"/>
      <c r="F30" s="354"/>
      <c r="G30" s="354"/>
      <c r="H30" s="354"/>
      <c r="I30" s="355"/>
    </row>
    <row r="31" spans="1:19" s="25" customFormat="1" ht="49.5" x14ac:dyDescent="0.25">
      <c r="A31" s="352"/>
      <c r="B31" s="353" t="s">
        <v>27</v>
      </c>
      <c r="C31" s="355"/>
      <c r="D31" s="21" t="s">
        <v>28</v>
      </c>
      <c r="E31" s="22" t="s">
        <v>29</v>
      </c>
      <c r="F31" s="22" t="s">
        <v>30</v>
      </c>
      <c r="G31" s="21" t="s">
        <v>31</v>
      </c>
      <c r="H31" s="22" t="s">
        <v>104</v>
      </c>
      <c r="I31" s="22" t="s">
        <v>33</v>
      </c>
    </row>
    <row r="32" spans="1:19" s="62" customFormat="1" ht="18.75" customHeight="1" x14ac:dyDescent="0.25">
      <c r="A32" s="61">
        <v>1</v>
      </c>
      <c r="B32" s="356">
        <v>2</v>
      </c>
      <c r="C32" s="357"/>
      <c r="D32" s="61">
        <v>3</v>
      </c>
      <c r="E32" s="61">
        <v>4</v>
      </c>
      <c r="F32" s="61">
        <v>5</v>
      </c>
      <c r="G32" s="61">
        <v>6</v>
      </c>
      <c r="H32" s="61">
        <v>7</v>
      </c>
      <c r="I32" s="61">
        <v>8</v>
      </c>
    </row>
    <row r="33" spans="1:9" s="68" customFormat="1" ht="39" customHeight="1" x14ac:dyDescent="0.25">
      <c r="A33" s="63">
        <v>1</v>
      </c>
      <c r="B33" s="358" t="s">
        <v>563</v>
      </c>
      <c r="C33" s="359"/>
      <c r="D33" s="64" t="s">
        <v>106</v>
      </c>
      <c r="E33" s="65">
        <f>C22</f>
        <v>38.4</v>
      </c>
      <c r="F33" s="63"/>
      <c r="G33" s="66"/>
      <c r="H33" s="166">
        <f>E33*F33*G33</f>
        <v>0</v>
      </c>
      <c r="I33" s="67"/>
    </row>
    <row r="34" spans="1:9" s="71" customFormat="1" ht="30.75" customHeight="1" x14ac:dyDescent="0.25">
      <c r="A34" s="69"/>
      <c r="B34" s="349" t="s">
        <v>34</v>
      </c>
      <c r="C34" s="350"/>
      <c r="D34" s="69"/>
      <c r="E34" s="69"/>
      <c r="F34" s="69"/>
      <c r="G34" s="69"/>
      <c r="H34" s="169">
        <f>SUM(H33:H33)</f>
        <v>0</v>
      </c>
      <c r="I34" s="69"/>
    </row>
    <row r="35" spans="1:9" ht="9" customHeight="1" x14ac:dyDescent="0.25">
      <c r="A35" s="77"/>
      <c r="B35" s="72"/>
      <c r="C35" s="72"/>
      <c r="D35" s="73"/>
      <c r="E35" s="73"/>
      <c r="F35" s="73"/>
      <c r="G35" s="73"/>
      <c r="H35" s="73"/>
      <c r="I35" s="73"/>
    </row>
    <row r="36" spans="1:9" ht="21" customHeight="1" x14ac:dyDescent="0.25">
      <c r="A36" s="75" t="s">
        <v>9</v>
      </c>
      <c r="B36" s="360" t="s">
        <v>35</v>
      </c>
      <c r="C36" s="360"/>
      <c r="D36" s="360"/>
      <c r="E36" s="360"/>
      <c r="F36" s="360"/>
      <c r="G36" s="360"/>
      <c r="H36" s="360"/>
      <c r="I36" s="360"/>
    </row>
    <row r="37" spans="1:9" s="23" customFormat="1" ht="49.5" x14ac:dyDescent="0.25">
      <c r="A37" s="29" t="s">
        <v>25</v>
      </c>
      <c r="B37" s="353" t="s">
        <v>27</v>
      </c>
      <c r="C37" s="355"/>
      <c r="D37" s="21" t="s">
        <v>28</v>
      </c>
      <c r="E37" s="22" t="s">
        <v>29</v>
      </c>
      <c r="F37" s="22" t="s">
        <v>30</v>
      </c>
      <c r="G37" s="21" t="s">
        <v>31</v>
      </c>
      <c r="H37" s="22" t="s">
        <v>32</v>
      </c>
      <c r="I37" s="22" t="s">
        <v>33</v>
      </c>
    </row>
    <row r="38" spans="1:9" s="62" customFormat="1" ht="18" customHeight="1" x14ac:dyDescent="0.25">
      <c r="A38" s="61">
        <v>1</v>
      </c>
      <c r="B38" s="356">
        <v>2</v>
      </c>
      <c r="C38" s="357"/>
      <c r="D38" s="61">
        <v>3</v>
      </c>
      <c r="E38" s="61">
        <v>4</v>
      </c>
      <c r="F38" s="61">
        <v>5</v>
      </c>
      <c r="G38" s="61">
        <v>6</v>
      </c>
      <c r="H38" s="61">
        <v>7</v>
      </c>
      <c r="I38" s="61">
        <v>8</v>
      </c>
    </row>
    <row r="39" spans="1:9" ht="37.5" customHeight="1" x14ac:dyDescent="0.25">
      <c r="A39" s="26">
        <v>1</v>
      </c>
      <c r="B39" s="353"/>
      <c r="C39" s="355"/>
      <c r="D39" s="27"/>
      <c r="E39" s="22"/>
      <c r="F39" s="27"/>
      <c r="G39" s="27"/>
      <c r="H39" s="27"/>
      <c r="I39" s="26" t="s">
        <v>36</v>
      </c>
    </row>
    <row r="40" spans="1:9" s="71" customFormat="1" ht="25.5" customHeight="1" x14ac:dyDescent="0.25">
      <c r="A40" s="69"/>
      <c r="B40" s="349" t="s">
        <v>34</v>
      </c>
      <c r="C40" s="350"/>
      <c r="D40" s="74"/>
      <c r="E40" s="69"/>
      <c r="F40" s="74"/>
      <c r="G40" s="74"/>
      <c r="H40" s="74"/>
      <c r="I40" s="69"/>
    </row>
    <row r="41" spans="1:9" x14ac:dyDescent="0.25">
      <c r="A41" s="124"/>
      <c r="B41" s="75"/>
      <c r="C41" s="75"/>
      <c r="D41" s="76"/>
      <c r="E41" s="75"/>
      <c r="F41" s="76"/>
      <c r="G41" s="76"/>
      <c r="H41" s="76"/>
      <c r="I41" s="75"/>
    </row>
    <row r="42" spans="1:9" x14ac:dyDescent="0.25">
      <c r="A42" s="324"/>
      <c r="B42" s="327" t="s">
        <v>37</v>
      </c>
      <c r="C42" s="328"/>
      <c r="D42" s="328"/>
      <c r="E42" s="328"/>
      <c r="F42" s="328"/>
      <c r="G42" s="329"/>
      <c r="H42" s="27"/>
      <c r="I42" s="26" t="s">
        <v>74</v>
      </c>
    </row>
    <row r="43" spans="1:9" x14ac:dyDescent="0.25">
      <c r="A43" s="325"/>
      <c r="B43" s="330" t="s">
        <v>38</v>
      </c>
      <c r="C43" s="331"/>
      <c r="D43" s="331"/>
      <c r="E43" s="331"/>
      <c r="F43" s="331"/>
      <c r="G43" s="332"/>
      <c r="H43" s="27"/>
      <c r="I43" s="26" t="s">
        <v>74</v>
      </c>
    </row>
    <row r="44" spans="1:9" x14ac:dyDescent="0.25">
      <c r="A44" s="326"/>
      <c r="B44" s="333" t="s">
        <v>39</v>
      </c>
      <c r="C44" s="334"/>
      <c r="D44" s="334"/>
      <c r="E44" s="334"/>
      <c r="F44" s="334"/>
      <c r="G44" s="335"/>
      <c r="H44" s="27"/>
      <c r="I44" s="26" t="s">
        <v>74</v>
      </c>
    </row>
    <row r="45" spans="1:9" ht="6.75" customHeight="1" x14ac:dyDescent="0.25">
      <c r="A45" s="77"/>
      <c r="B45" s="72"/>
      <c r="C45" s="72"/>
      <c r="D45" s="72"/>
      <c r="E45" s="78"/>
      <c r="F45" s="72"/>
      <c r="G45" s="72"/>
      <c r="H45" s="79"/>
      <c r="I45" s="79"/>
    </row>
    <row r="46" spans="1:9" ht="21" customHeight="1" x14ac:dyDescent="0.25">
      <c r="A46" s="125" t="s">
        <v>22</v>
      </c>
      <c r="B46" s="376" t="s">
        <v>40</v>
      </c>
      <c r="C46" s="376"/>
      <c r="D46" s="376"/>
      <c r="E46" s="376"/>
      <c r="F46" s="376"/>
      <c r="G46" s="376"/>
      <c r="H46" s="80"/>
      <c r="I46" s="81"/>
    </row>
    <row r="47" spans="1:9" s="30" customFormat="1" ht="49.5" x14ac:dyDescent="0.25">
      <c r="A47" s="21" t="s">
        <v>25</v>
      </c>
      <c r="B47" s="21" t="s">
        <v>41</v>
      </c>
      <c r="C47" s="21" t="s">
        <v>28</v>
      </c>
      <c r="D47" s="21" t="s">
        <v>42</v>
      </c>
      <c r="E47" s="21" t="s">
        <v>43</v>
      </c>
      <c r="F47" s="22" t="s">
        <v>30</v>
      </c>
      <c r="G47" s="21" t="s">
        <v>31</v>
      </c>
      <c r="H47" s="21" t="s">
        <v>45</v>
      </c>
      <c r="I47" s="21" t="s">
        <v>33</v>
      </c>
    </row>
    <row r="48" spans="1:9" s="83" customFormat="1" ht="18" customHeight="1" x14ac:dyDescent="0.25">
      <c r="A48" s="82">
        <v>1</v>
      </c>
      <c r="B48" s="82">
        <v>2</v>
      </c>
      <c r="C48" s="82">
        <v>3</v>
      </c>
      <c r="D48" s="82">
        <v>4</v>
      </c>
      <c r="E48" s="82">
        <v>5</v>
      </c>
      <c r="F48" s="82">
        <v>6</v>
      </c>
      <c r="G48" s="82">
        <v>7</v>
      </c>
      <c r="H48" s="82">
        <v>8</v>
      </c>
      <c r="I48" s="82">
        <v>9</v>
      </c>
    </row>
    <row r="49" spans="1:12" s="89" customFormat="1" ht="30" customHeight="1" x14ac:dyDescent="0.25">
      <c r="A49" s="21" t="s">
        <v>46</v>
      </c>
      <c r="B49" s="84" t="s">
        <v>47</v>
      </c>
      <c r="C49" s="85"/>
      <c r="D49" s="85"/>
      <c r="E49" s="86"/>
      <c r="F49" s="85"/>
      <c r="G49" s="85"/>
      <c r="H49" s="167">
        <f>SUM(H51:H58)</f>
        <v>0</v>
      </c>
      <c r="I49" s="88"/>
    </row>
    <row r="50" spans="1:12" s="89" customFormat="1" ht="30" customHeight="1" x14ac:dyDescent="0.25">
      <c r="A50" s="246" t="s">
        <v>131</v>
      </c>
      <c r="B50" s="247" t="s">
        <v>368</v>
      </c>
      <c r="C50" s="200"/>
      <c r="D50" s="200"/>
      <c r="E50" s="252"/>
      <c r="F50" s="200"/>
      <c r="G50" s="200"/>
      <c r="H50" s="253"/>
      <c r="I50" s="91"/>
    </row>
    <row r="51" spans="1:12" s="89" customFormat="1" ht="25.15" customHeight="1" x14ac:dyDescent="0.25">
      <c r="A51" s="90">
        <v>1</v>
      </c>
      <c r="B51" s="91" t="s">
        <v>90</v>
      </c>
      <c r="C51" s="64" t="s">
        <v>106</v>
      </c>
      <c r="D51" s="90" t="s">
        <v>465</v>
      </c>
      <c r="E51" s="92">
        <f>9.6*3.95</f>
        <v>37.92</v>
      </c>
      <c r="F51" s="93"/>
      <c r="G51" s="93"/>
      <c r="H51" s="159"/>
      <c r="I51" s="347" t="s">
        <v>110</v>
      </c>
    </row>
    <row r="52" spans="1:12" s="89" customFormat="1" ht="25.15" customHeight="1" x14ac:dyDescent="0.25">
      <c r="A52" s="90">
        <v>2</v>
      </c>
      <c r="B52" s="91" t="s">
        <v>96</v>
      </c>
      <c r="C52" s="64" t="s">
        <v>106</v>
      </c>
      <c r="D52" s="90" t="s">
        <v>466</v>
      </c>
      <c r="E52" s="92">
        <f>2*3.95</f>
        <v>7.9</v>
      </c>
      <c r="F52" s="93"/>
      <c r="G52" s="93"/>
      <c r="H52" s="159"/>
      <c r="I52" s="348"/>
    </row>
    <row r="53" spans="1:12" s="89" customFormat="1" ht="71.25" customHeight="1" x14ac:dyDescent="0.25">
      <c r="A53" s="90">
        <v>3</v>
      </c>
      <c r="B53" s="91" t="s">
        <v>469</v>
      </c>
      <c r="C53" s="64" t="s">
        <v>106</v>
      </c>
      <c r="D53" s="90" t="s">
        <v>467</v>
      </c>
      <c r="E53" s="231">
        <f>10.5*3.95</f>
        <v>41.475000000000001</v>
      </c>
      <c r="F53" s="93"/>
      <c r="G53" s="93"/>
      <c r="H53" s="159"/>
      <c r="I53" s="348"/>
    </row>
    <row r="54" spans="1:12" s="89" customFormat="1" ht="39.6" customHeight="1" x14ac:dyDescent="0.25">
      <c r="A54" s="244"/>
      <c r="B54" s="132" t="s">
        <v>109</v>
      </c>
      <c r="C54" s="64" t="s">
        <v>106</v>
      </c>
      <c r="D54" s="244" t="s">
        <v>468</v>
      </c>
      <c r="E54" s="231">
        <f>(10.39+9.79)/2*3.95</f>
        <v>39.855499999999999</v>
      </c>
      <c r="F54" s="93"/>
      <c r="G54" s="93"/>
      <c r="H54" s="159"/>
      <c r="I54" s="348"/>
    </row>
    <row r="55" spans="1:12" s="89" customFormat="1" ht="33" x14ac:dyDescent="0.25">
      <c r="A55" s="90"/>
      <c r="B55" s="132" t="s">
        <v>264</v>
      </c>
      <c r="C55" s="64" t="s">
        <v>106</v>
      </c>
      <c r="D55" s="96"/>
      <c r="E55" s="92">
        <f>E53-E54</f>
        <v>1.6195000000000022</v>
      </c>
      <c r="F55" s="93"/>
      <c r="G55" s="93"/>
      <c r="H55" s="159"/>
      <c r="I55" s="348"/>
    </row>
    <row r="56" spans="1:12" s="89" customFormat="1" ht="24.75" customHeight="1" x14ac:dyDescent="0.25">
      <c r="A56" s="90" t="s">
        <v>131</v>
      </c>
      <c r="B56" s="132" t="s">
        <v>134</v>
      </c>
      <c r="C56" s="64" t="s">
        <v>106</v>
      </c>
      <c r="D56" s="96" t="s">
        <v>145</v>
      </c>
      <c r="E56" s="92">
        <f>E53</f>
        <v>41.475000000000001</v>
      </c>
      <c r="F56" s="93"/>
      <c r="G56" s="93"/>
      <c r="H56" s="159"/>
      <c r="I56" s="348"/>
    </row>
    <row r="57" spans="1:12" s="89" customFormat="1" ht="38.25" customHeight="1" x14ac:dyDescent="0.25">
      <c r="A57" s="244"/>
      <c r="B57" s="132" t="s">
        <v>115</v>
      </c>
      <c r="C57" s="64" t="s">
        <v>106</v>
      </c>
      <c r="D57" s="96" t="s">
        <v>147</v>
      </c>
      <c r="E57" s="92">
        <f>E54</f>
        <v>39.855499999999999</v>
      </c>
      <c r="F57" s="93"/>
      <c r="G57" s="93"/>
      <c r="H57" s="159"/>
      <c r="I57" s="348"/>
    </row>
    <row r="58" spans="1:12" s="89" customFormat="1" ht="36" customHeight="1" x14ac:dyDescent="0.25">
      <c r="A58" s="90"/>
      <c r="B58" s="132" t="s">
        <v>470</v>
      </c>
      <c r="C58" s="64" t="s">
        <v>106</v>
      </c>
      <c r="D58" s="96"/>
      <c r="E58" s="269">
        <f>E56-E57</f>
        <v>1.6195000000000022</v>
      </c>
      <c r="F58" s="93"/>
      <c r="G58" s="93"/>
      <c r="H58" s="159"/>
      <c r="I58" s="348"/>
    </row>
    <row r="59" spans="1:12" s="89" customFormat="1" ht="25.5" customHeight="1" x14ac:dyDescent="0.25">
      <c r="A59" s="21" t="s">
        <v>48</v>
      </c>
      <c r="B59" s="84" t="s">
        <v>49</v>
      </c>
      <c r="C59" s="85"/>
      <c r="D59" s="85"/>
      <c r="E59" s="92"/>
      <c r="F59" s="85"/>
      <c r="G59" s="85"/>
      <c r="H59" s="167">
        <f>H60</f>
        <v>0</v>
      </c>
      <c r="I59" s="95"/>
    </row>
    <row r="60" spans="1:12" s="89" customFormat="1" ht="66" x14ac:dyDescent="0.25">
      <c r="A60" s="90">
        <v>1</v>
      </c>
      <c r="B60" s="186" t="s">
        <v>471</v>
      </c>
      <c r="C60" s="93" t="s">
        <v>93</v>
      </c>
      <c r="D60" s="93" t="s">
        <v>472</v>
      </c>
      <c r="E60" s="92">
        <v>1</v>
      </c>
      <c r="F60" s="85"/>
      <c r="G60" s="85"/>
      <c r="H60" s="201"/>
      <c r="I60" s="244" t="s">
        <v>110</v>
      </c>
    </row>
    <row r="61" spans="1:12" s="102" customFormat="1" ht="31.5" customHeight="1" x14ac:dyDescent="0.25">
      <c r="A61" s="126"/>
      <c r="B61" s="100" t="s">
        <v>50</v>
      </c>
      <c r="C61" s="100"/>
      <c r="D61" s="100"/>
      <c r="E61" s="100"/>
      <c r="F61" s="100"/>
      <c r="G61" s="100"/>
      <c r="H61" s="158">
        <f>H49+H59</f>
        <v>0</v>
      </c>
      <c r="I61" s="101"/>
    </row>
    <row r="62" spans="1:12" ht="22.5" customHeight="1" x14ac:dyDescent="0.25">
      <c r="A62" s="127">
        <v>4</v>
      </c>
      <c r="B62" s="337" t="s">
        <v>51</v>
      </c>
      <c r="C62" s="337"/>
      <c r="D62" s="337"/>
      <c r="E62" s="337"/>
      <c r="F62" s="337"/>
      <c r="G62" s="337"/>
      <c r="H62" s="51"/>
      <c r="I62" s="51"/>
    </row>
    <row r="63" spans="1:12" s="104" customFormat="1" ht="49.5" x14ac:dyDescent="0.25">
      <c r="A63" s="103" t="s">
        <v>25</v>
      </c>
      <c r="B63" s="338" t="s">
        <v>52</v>
      </c>
      <c r="C63" s="339"/>
      <c r="D63" s="21" t="s">
        <v>29</v>
      </c>
      <c r="E63" s="21" t="s">
        <v>53</v>
      </c>
      <c r="F63" s="21" t="s">
        <v>44</v>
      </c>
      <c r="G63" s="21" t="s">
        <v>54</v>
      </c>
      <c r="H63" s="21" t="s">
        <v>45</v>
      </c>
      <c r="I63" s="21" t="s">
        <v>33</v>
      </c>
    </row>
    <row r="64" spans="1:12" ht="28.5" customHeight="1" x14ac:dyDescent="0.25">
      <c r="A64" s="105"/>
      <c r="B64" s="340"/>
      <c r="C64" s="341"/>
      <c r="D64" s="106"/>
      <c r="E64" s="105"/>
      <c r="F64" s="107"/>
      <c r="G64" s="108"/>
      <c r="H64" s="108"/>
      <c r="I64" s="109"/>
      <c r="L64" s="110"/>
    </row>
    <row r="65" spans="1:12" s="112" customFormat="1" ht="27.75" customHeight="1" x14ac:dyDescent="0.25">
      <c r="A65" s="126"/>
      <c r="B65" s="342" t="s">
        <v>34</v>
      </c>
      <c r="C65" s="343"/>
      <c r="D65" s="100"/>
      <c r="E65" s="100"/>
      <c r="F65" s="100"/>
      <c r="G65" s="100"/>
      <c r="H65" s="163">
        <f>SUM(H64)</f>
        <v>0</v>
      </c>
      <c r="I65" s="111"/>
      <c r="L65" s="113"/>
    </row>
    <row r="66" spans="1:12" s="115" customFormat="1" ht="27.75" customHeight="1" x14ac:dyDescent="0.25">
      <c r="A66" s="128">
        <v>5</v>
      </c>
      <c r="B66" s="344" t="s">
        <v>56</v>
      </c>
      <c r="C66" s="344"/>
      <c r="D66" s="344"/>
      <c r="E66" s="344"/>
      <c r="F66" s="344"/>
      <c r="G66" s="345"/>
      <c r="H66" s="164">
        <f>H65+H61+H40+H34</f>
        <v>0</v>
      </c>
      <c r="I66" s="114" t="s">
        <v>57</v>
      </c>
    </row>
    <row r="67" spans="1:12" s="117" customFormat="1" ht="17.25" x14ac:dyDescent="0.25">
      <c r="A67" s="129"/>
      <c r="B67" s="116" t="s">
        <v>78</v>
      </c>
      <c r="C67" s="346" t="s">
        <v>91</v>
      </c>
      <c r="D67" s="346"/>
      <c r="E67" s="346"/>
      <c r="F67" s="346"/>
      <c r="G67" s="346"/>
      <c r="H67" s="346"/>
      <c r="I67" s="346"/>
    </row>
    <row r="68" spans="1:12" s="41" customFormat="1" ht="17.25" hidden="1" x14ac:dyDescent="0.3">
      <c r="A68" s="39"/>
      <c r="B68" s="118"/>
      <c r="E68" s="119"/>
      <c r="F68" s="316" t="s">
        <v>75</v>
      </c>
      <c r="G68" s="316"/>
      <c r="H68" s="316"/>
      <c r="I68" s="316"/>
    </row>
    <row r="69" spans="1:12" hidden="1" x14ac:dyDescent="0.25">
      <c r="F69" s="316" t="s">
        <v>76</v>
      </c>
      <c r="G69" s="316"/>
      <c r="H69" s="316"/>
      <c r="I69" s="316"/>
    </row>
    <row r="70" spans="1:12" hidden="1" x14ac:dyDescent="0.25">
      <c r="F70" s="317"/>
      <c r="G70" s="317"/>
      <c r="H70" s="317"/>
      <c r="I70" s="317"/>
    </row>
    <row r="71" spans="1:12" hidden="1" x14ac:dyDescent="0.25"/>
    <row r="72" spans="1:12" hidden="1" x14ac:dyDescent="0.25"/>
    <row r="73" spans="1:12" hidden="1" x14ac:dyDescent="0.25"/>
    <row r="74" spans="1:12" hidden="1" x14ac:dyDescent="0.25"/>
    <row r="75" spans="1:12" hidden="1" x14ac:dyDescent="0.25"/>
    <row r="76" spans="1:12" hidden="1" x14ac:dyDescent="0.25">
      <c r="F76" s="318" t="s">
        <v>77</v>
      </c>
      <c r="G76" s="318"/>
      <c r="H76" s="318"/>
      <c r="I76" s="318"/>
    </row>
    <row r="77" spans="1:12" ht="65.25" customHeight="1" x14ac:dyDescent="0.25">
      <c r="A77" s="319" t="s">
        <v>100</v>
      </c>
      <c r="B77" s="319"/>
      <c r="C77" s="319"/>
      <c r="D77" s="319"/>
      <c r="E77" s="319"/>
      <c r="F77" s="319"/>
      <c r="G77" s="319"/>
      <c r="H77" s="319"/>
      <c r="I77" s="319"/>
    </row>
    <row r="78" spans="1:12" x14ac:dyDescent="0.25">
      <c r="A78" s="315" t="s">
        <v>102</v>
      </c>
      <c r="B78" s="315"/>
      <c r="C78" s="315"/>
      <c r="D78" s="315"/>
      <c r="E78" s="315"/>
      <c r="F78" s="315"/>
      <c r="G78" s="315"/>
      <c r="H78" s="315"/>
      <c r="I78" s="315"/>
    </row>
    <row r="79" spans="1:12" x14ac:dyDescent="0.25">
      <c r="A79" s="320" t="s">
        <v>107</v>
      </c>
      <c r="B79" s="320"/>
      <c r="C79" s="320"/>
      <c r="D79" s="321"/>
      <c r="E79" s="322" t="s">
        <v>108</v>
      </c>
      <c r="F79" s="323"/>
      <c r="G79" s="323"/>
      <c r="H79" s="323"/>
      <c r="I79" s="323"/>
    </row>
    <row r="80" spans="1:12" x14ac:dyDescent="0.25">
      <c r="A80" s="320"/>
      <c r="B80" s="320"/>
      <c r="C80" s="320"/>
      <c r="D80" s="321"/>
      <c r="E80" s="322"/>
      <c r="F80" s="323"/>
      <c r="G80" s="323"/>
      <c r="H80" s="323"/>
      <c r="I80" s="323"/>
    </row>
    <row r="81" spans="1:9" x14ac:dyDescent="0.25">
      <c r="A81" s="320"/>
      <c r="B81" s="320"/>
      <c r="C81" s="320"/>
      <c r="D81" s="321"/>
      <c r="E81" s="38"/>
      <c r="I81" s="20"/>
    </row>
    <row r="82" spans="1:9" x14ac:dyDescent="0.25">
      <c r="A82" s="315" t="s">
        <v>101</v>
      </c>
      <c r="B82" s="315"/>
      <c r="C82" s="315"/>
      <c r="D82" s="315"/>
      <c r="E82" s="315"/>
      <c r="F82" s="315"/>
      <c r="G82" s="315"/>
      <c r="H82" s="315"/>
      <c r="I82" s="315"/>
    </row>
  </sheetData>
  <mergeCells count="57">
    <mergeCell ref="A1:D1"/>
    <mergeCell ref="E1:I1"/>
    <mergeCell ref="A2:D2"/>
    <mergeCell ref="E2:I2"/>
    <mergeCell ref="A4:C4"/>
    <mergeCell ref="E4:I4"/>
    <mergeCell ref="A5:I5"/>
    <mergeCell ref="A6:I6"/>
    <mergeCell ref="A7:I7"/>
    <mergeCell ref="B8:I8"/>
    <mergeCell ref="B9:E9"/>
    <mergeCell ref="F9:I9"/>
    <mergeCell ref="B28:I28"/>
    <mergeCell ref="C10:I10"/>
    <mergeCell ref="C11:I11"/>
    <mergeCell ref="F13:I13"/>
    <mergeCell ref="C14:I14"/>
    <mergeCell ref="C15:I15"/>
    <mergeCell ref="B17:I17"/>
    <mergeCell ref="D19:E19"/>
    <mergeCell ref="C24:I24"/>
    <mergeCell ref="C25:I25"/>
    <mergeCell ref="B26:F26"/>
    <mergeCell ref="B27:G27"/>
    <mergeCell ref="B40:C40"/>
    <mergeCell ref="B29:I29"/>
    <mergeCell ref="A30:A31"/>
    <mergeCell ref="B30:I30"/>
    <mergeCell ref="B31:C31"/>
    <mergeCell ref="B32:C32"/>
    <mergeCell ref="B33:C33"/>
    <mergeCell ref="B34:C34"/>
    <mergeCell ref="B36:I36"/>
    <mergeCell ref="B37:C37"/>
    <mergeCell ref="B38:C38"/>
    <mergeCell ref="B39:C39"/>
    <mergeCell ref="C67:I67"/>
    <mergeCell ref="A42:A44"/>
    <mergeCell ref="B42:G42"/>
    <mergeCell ref="B43:G43"/>
    <mergeCell ref="B44:G44"/>
    <mergeCell ref="B46:G46"/>
    <mergeCell ref="I51:I58"/>
    <mergeCell ref="B62:G62"/>
    <mergeCell ref="B63:C63"/>
    <mergeCell ref="B64:C64"/>
    <mergeCell ref="B65:C65"/>
    <mergeCell ref="B66:G66"/>
    <mergeCell ref="A79:D81"/>
    <mergeCell ref="E79:I80"/>
    <mergeCell ref="A82:I82"/>
    <mergeCell ref="F68:I68"/>
    <mergeCell ref="F69:I69"/>
    <mergeCell ref="F70:I70"/>
    <mergeCell ref="F76:I76"/>
    <mergeCell ref="A77:I77"/>
    <mergeCell ref="A78:I78"/>
  </mergeCells>
  <printOptions horizontalCentered="1"/>
  <pageMargins left="0.11811023622047245" right="0.15748031496062992" top="0.19685039370078741" bottom="0.15748031496062992" header="0.19685039370078741" footer="0.15748031496062992"/>
  <pageSetup paperSize="9" scale="80" orientation="portrait" r:id="rId1"/>
  <drawing r:id="rId2"/>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9"/>
  <sheetViews>
    <sheetView topLeftCell="A40" workbookViewId="0">
      <selection activeCell="D33" sqref="D33"/>
    </sheetView>
  </sheetViews>
  <sheetFormatPr defaultColWidth="9.140625" defaultRowHeight="16.5" x14ac:dyDescent="0.25"/>
  <cols>
    <col min="1" max="1" width="4.28515625" style="68" customWidth="1"/>
    <col min="2" max="2" width="27.28515625" style="20" customWidth="1"/>
    <col min="3" max="3" width="8.7109375" style="20" customWidth="1"/>
    <col min="4" max="4" width="22.7109375" style="20" customWidth="1"/>
    <col min="5" max="5" width="9.7109375" style="254" customWidth="1"/>
    <col min="6" max="6" width="12.28515625" style="20" customWidth="1"/>
    <col min="7" max="7" width="9.42578125" style="20" customWidth="1"/>
    <col min="8" max="8" width="15" style="20" customWidth="1"/>
    <col min="9" max="9" width="15.42578125" style="120" customWidth="1"/>
    <col min="10" max="11" width="9.140625" style="20"/>
    <col min="12" max="12" width="11.42578125" style="20" customWidth="1"/>
    <col min="13" max="16384" width="9.140625" style="20"/>
  </cols>
  <sheetData>
    <row r="1" spans="1:17" s="36" customFormat="1" x14ac:dyDescent="0.25">
      <c r="A1" s="368" t="s">
        <v>98</v>
      </c>
      <c r="B1" s="368"/>
      <c r="C1" s="368"/>
      <c r="D1" s="368"/>
      <c r="E1" s="368" t="s">
        <v>0</v>
      </c>
      <c r="F1" s="368"/>
      <c r="G1" s="368"/>
      <c r="H1" s="368"/>
      <c r="I1" s="368"/>
    </row>
    <row r="2" spans="1:17" s="36" customFormat="1" x14ac:dyDescent="0.25">
      <c r="A2" s="369" t="s">
        <v>99</v>
      </c>
      <c r="B2" s="369"/>
      <c r="C2" s="369"/>
      <c r="D2" s="369"/>
      <c r="E2" s="369" t="s">
        <v>1</v>
      </c>
      <c r="F2" s="368"/>
      <c r="G2" s="368"/>
      <c r="H2" s="368"/>
      <c r="I2" s="368"/>
    </row>
    <row r="3" spans="1:17" s="36" customFormat="1" ht="20.25" customHeight="1" x14ac:dyDescent="0.25">
      <c r="A3" s="262"/>
      <c r="C3" s="262"/>
      <c r="D3" s="262"/>
      <c r="E3" s="262"/>
      <c r="F3" s="262"/>
      <c r="G3" s="262"/>
      <c r="H3" s="262"/>
      <c r="I3" s="37"/>
    </row>
    <row r="4" spans="1:17" s="36" customFormat="1" ht="23.25" customHeight="1" x14ac:dyDescent="0.25">
      <c r="A4" s="369" t="s">
        <v>89</v>
      </c>
      <c r="B4" s="369"/>
      <c r="C4" s="369"/>
      <c r="E4" s="370" t="s">
        <v>371</v>
      </c>
      <c r="F4" s="370"/>
      <c r="G4" s="370"/>
      <c r="H4" s="370"/>
      <c r="I4" s="370"/>
    </row>
    <row r="5" spans="1:17" s="40" customFormat="1" ht="24" customHeight="1" x14ac:dyDescent="0.25">
      <c r="A5" s="371" t="s">
        <v>85</v>
      </c>
      <c r="B5" s="371"/>
      <c r="C5" s="371"/>
      <c r="D5" s="371"/>
      <c r="E5" s="371"/>
      <c r="F5" s="371"/>
      <c r="G5" s="371"/>
      <c r="H5" s="371"/>
      <c r="I5" s="371"/>
    </row>
    <row r="6" spans="1:17" s="40" customFormat="1" ht="39.75" customHeight="1" x14ac:dyDescent="0.25">
      <c r="A6" s="372" t="s">
        <v>86</v>
      </c>
      <c r="B6" s="372"/>
      <c r="C6" s="372"/>
      <c r="D6" s="372"/>
      <c r="E6" s="372"/>
      <c r="F6" s="372"/>
      <c r="G6" s="372"/>
      <c r="H6" s="372"/>
      <c r="I6" s="372"/>
      <c r="Q6" s="41"/>
    </row>
    <row r="7" spans="1:17" s="40" customFormat="1" ht="21" customHeight="1" x14ac:dyDescent="0.25">
      <c r="A7" s="373" t="s">
        <v>166</v>
      </c>
      <c r="B7" s="373"/>
      <c r="C7" s="373"/>
      <c r="D7" s="373"/>
      <c r="E7" s="373"/>
      <c r="F7" s="373"/>
      <c r="G7" s="373"/>
      <c r="H7" s="373"/>
      <c r="I7" s="373"/>
    </row>
    <row r="8" spans="1:17" s="259" customFormat="1" ht="21.95" customHeight="1" x14ac:dyDescent="0.25">
      <c r="A8" s="263" t="s">
        <v>2</v>
      </c>
      <c r="B8" s="362" t="s">
        <v>3</v>
      </c>
      <c r="C8" s="362"/>
      <c r="D8" s="362"/>
      <c r="E8" s="362"/>
      <c r="F8" s="362"/>
      <c r="G8" s="362"/>
      <c r="H8" s="362"/>
      <c r="I8" s="362"/>
    </row>
    <row r="9" spans="1:17" s="259" customFormat="1" ht="21.95" customHeight="1" x14ac:dyDescent="0.25">
      <c r="A9" s="263" t="s">
        <v>4</v>
      </c>
      <c r="B9" s="374" t="s">
        <v>5</v>
      </c>
      <c r="C9" s="374"/>
      <c r="D9" s="374"/>
      <c r="E9" s="374"/>
      <c r="F9" s="365" t="s">
        <v>473</v>
      </c>
      <c r="G9" s="365"/>
      <c r="H9" s="365"/>
      <c r="I9" s="365"/>
    </row>
    <row r="10" spans="1:17" s="259" customFormat="1" ht="21.95" customHeight="1" x14ac:dyDescent="0.25">
      <c r="A10" s="122"/>
      <c r="B10" s="24" t="s">
        <v>6</v>
      </c>
      <c r="C10" s="365" t="s">
        <v>251</v>
      </c>
      <c r="D10" s="365"/>
      <c r="E10" s="365"/>
      <c r="F10" s="365"/>
      <c r="G10" s="365"/>
      <c r="H10" s="365"/>
      <c r="I10" s="365"/>
    </row>
    <row r="11" spans="1:17" s="259" customFormat="1" ht="21.95" customHeight="1" x14ac:dyDescent="0.25">
      <c r="A11" s="122"/>
      <c r="B11" s="24" t="s">
        <v>7</v>
      </c>
      <c r="C11" s="365" t="s">
        <v>251</v>
      </c>
      <c r="D11" s="365"/>
      <c r="E11" s="365"/>
      <c r="F11" s="365"/>
      <c r="G11" s="365"/>
      <c r="H11" s="365"/>
      <c r="I11" s="365"/>
    </row>
    <row r="12" spans="1:17" s="259" customFormat="1" ht="21.95" customHeight="1" x14ac:dyDescent="0.25">
      <c r="A12" s="122"/>
      <c r="B12" s="24" t="s">
        <v>11</v>
      </c>
      <c r="C12" s="233" t="s">
        <v>474</v>
      </c>
      <c r="D12" s="233"/>
      <c r="E12" s="233"/>
      <c r="F12" s="43"/>
      <c r="G12" s="43"/>
      <c r="H12" s="43"/>
      <c r="I12" s="43"/>
    </row>
    <row r="13" spans="1:17" s="259" customFormat="1" ht="21.95" customHeight="1" x14ac:dyDescent="0.25">
      <c r="A13" s="263" t="s">
        <v>9</v>
      </c>
      <c r="B13" s="44" t="s">
        <v>10</v>
      </c>
      <c r="E13" s="43"/>
      <c r="F13" s="362" t="str">
        <f>F9</f>
        <v>Nguyễn Thị Mến</v>
      </c>
      <c r="G13" s="362"/>
      <c r="H13" s="362"/>
      <c r="I13" s="362"/>
      <c r="J13" s="143"/>
    </row>
    <row r="14" spans="1:17" s="259" customFormat="1" ht="21.95" customHeight="1" x14ac:dyDescent="0.25">
      <c r="A14" s="122"/>
      <c r="B14" s="24" t="s">
        <v>6</v>
      </c>
      <c r="C14" s="365" t="str">
        <f>+C10</f>
        <v>Thôn Phố Gốt - Xã Phú Nghĩa - TP Hà Nội</v>
      </c>
      <c r="D14" s="365"/>
      <c r="E14" s="365"/>
      <c r="F14" s="365"/>
      <c r="G14" s="365"/>
      <c r="H14" s="365"/>
      <c r="I14" s="365"/>
    </row>
    <row r="15" spans="1:17" s="259" customFormat="1" ht="21.95" customHeight="1" x14ac:dyDescent="0.25">
      <c r="A15" s="122"/>
      <c r="B15" s="24" t="s">
        <v>7</v>
      </c>
      <c r="C15" s="365" t="str">
        <f>C11</f>
        <v>Thôn Phố Gốt - Xã Phú Nghĩa - TP Hà Nội</v>
      </c>
      <c r="D15" s="365"/>
      <c r="E15" s="365"/>
      <c r="F15" s="365"/>
      <c r="G15" s="365"/>
      <c r="H15" s="365"/>
      <c r="I15" s="365"/>
    </row>
    <row r="16" spans="1:17" s="259" customFormat="1" ht="21.95" customHeight="1" x14ac:dyDescent="0.25">
      <c r="A16" s="122"/>
      <c r="B16" s="24" t="s">
        <v>11</v>
      </c>
      <c r="C16" s="233" t="str">
        <f>+C12</f>
        <v>0011155017845</v>
      </c>
      <c r="D16" s="233"/>
      <c r="E16" s="233"/>
      <c r="F16" s="43"/>
      <c r="G16" s="43"/>
      <c r="H16" s="43"/>
      <c r="I16" s="43"/>
    </row>
    <row r="17" spans="1:19" s="259" customFormat="1" ht="21.95" customHeight="1" x14ac:dyDescent="0.25">
      <c r="A17" s="263" t="s">
        <v>12</v>
      </c>
      <c r="B17" s="362" t="s">
        <v>13</v>
      </c>
      <c r="C17" s="362"/>
      <c r="D17" s="362"/>
      <c r="E17" s="362"/>
      <c r="F17" s="362"/>
      <c r="G17" s="362"/>
      <c r="H17" s="362"/>
      <c r="I17" s="362"/>
    </row>
    <row r="18" spans="1:19" s="259" customFormat="1" ht="21.95" customHeight="1" x14ac:dyDescent="0.25">
      <c r="A18" s="263" t="s">
        <v>4</v>
      </c>
      <c r="B18" s="46" t="s">
        <v>14</v>
      </c>
      <c r="E18" s="43"/>
    </row>
    <row r="19" spans="1:19" s="51" customFormat="1" ht="21.95" customHeight="1" x14ac:dyDescent="0.25">
      <c r="A19" s="123"/>
      <c r="B19" s="47" t="s">
        <v>15</v>
      </c>
      <c r="C19" s="48">
        <v>77</v>
      </c>
      <c r="D19" s="363" t="s">
        <v>16</v>
      </c>
      <c r="E19" s="363"/>
      <c r="F19" s="49" t="s">
        <v>128</v>
      </c>
      <c r="G19" s="50"/>
      <c r="I19" s="50"/>
    </row>
    <row r="20" spans="1:19" s="51" customFormat="1" ht="21.95" customHeight="1" x14ac:dyDescent="0.25">
      <c r="A20" s="123"/>
      <c r="B20" s="47" t="s">
        <v>17</v>
      </c>
      <c r="C20" s="52">
        <v>361.4</v>
      </c>
      <c r="D20" s="50" t="s">
        <v>105</v>
      </c>
      <c r="E20" s="53"/>
      <c r="F20" s="54"/>
      <c r="H20" s="55"/>
      <c r="I20" s="50"/>
    </row>
    <row r="21" spans="1:19" s="51" customFormat="1" ht="21.95" customHeight="1" x14ac:dyDescent="0.25">
      <c r="A21" s="123"/>
      <c r="B21" s="56" t="s">
        <v>18</v>
      </c>
      <c r="C21" s="57"/>
      <c r="D21" s="50"/>
      <c r="E21" s="53"/>
      <c r="F21" s="50"/>
      <c r="H21" s="55"/>
      <c r="I21" s="50"/>
    </row>
    <row r="22" spans="1:19" s="51" customFormat="1" ht="21.95" customHeight="1" x14ac:dyDescent="0.25">
      <c r="A22" s="123"/>
      <c r="B22" s="47" t="s">
        <v>19</v>
      </c>
      <c r="C22" s="52">
        <v>62.2</v>
      </c>
      <c r="D22" s="50" t="s">
        <v>105</v>
      </c>
      <c r="E22" s="53"/>
      <c r="F22" s="50"/>
      <c r="H22" s="55"/>
      <c r="I22" s="50"/>
      <c r="J22" s="133"/>
    </row>
    <row r="23" spans="1:19" s="51" customFormat="1" ht="21.95" customHeight="1" x14ac:dyDescent="0.25">
      <c r="A23" s="123"/>
      <c r="B23" s="47" t="s">
        <v>20</v>
      </c>
      <c r="C23" s="57">
        <f>C20-C22</f>
        <v>299.2</v>
      </c>
      <c r="D23" s="50" t="s">
        <v>105</v>
      </c>
      <c r="E23" s="53"/>
      <c r="F23" s="50"/>
      <c r="H23" s="55"/>
      <c r="I23" s="50"/>
      <c r="J23" s="142"/>
    </row>
    <row r="24" spans="1:19" s="259" customFormat="1" ht="21.95" customHeight="1" x14ac:dyDescent="0.25">
      <c r="A24" s="122"/>
      <c r="B24" s="24" t="s">
        <v>21</v>
      </c>
      <c r="C24" s="362" t="s">
        <v>251</v>
      </c>
      <c r="D24" s="362"/>
      <c r="E24" s="362"/>
      <c r="F24" s="362"/>
      <c r="G24" s="362"/>
      <c r="H24" s="362"/>
      <c r="I24" s="362"/>
    </row>
    <row r="25" spans="1:19" s="36" customFormat="1" ht="227.45" customHeight="1" x14ac:dyDescent="0.25">
      <c r="A25" s="262">
        <v>2</v>
      </c>
      <c r="B25" s="260" t="s">
        <v>73</v>
      </c>
      <c r="C25" s="366" t="s">
        <v>589</v>
      </c>
      <c r="D25" s="367"/>
      <c r="E25" s="367"/>
      <c r="F25" s="367"/>
      <c r="G25" s="367"/>
      <c r="H25" s="367"/>
      <c r="I25" s="367"/>
      <c r="J25" s="133"/>
      <c r="K25" s="133"/>
      <c r="L25" s="59"/>
      <c r="M25" s="59"/>
      <c r="N25" s="59"/>
      <c r="O25" s="59"/>
      <c r="P25" s="59"/>
      <c r="Q25" s="59"/>
      <c r="R25" s="59"/>
      <c r="S25" s="59"/>
    </row>
    <row r="26" spans="1:19" s="36" customFormat="1" ht="21" customHeight="1" x14ac:dyDescent="0.25">
      <c r="A26" s="262">
        <v>3</v>
      </c>
      <c r="B26" s="364" t="s">
        <v>82</v>
      </c>
      <c r="C26" s="364"/>
      <c r="D26" s="364"/>
      <c r="E26" s="364"/>
      <c r="F26" s="364"/>
      <c r="G26" s="261"/>
      <c r="H26" s="149" t="s">
        <v>112</v>
      </c>
      <c r="I26" s="261" t="s">
        <v>55</v>
      </c>
      <c r="J26" s="59"/>
      <c r="K26" s="142"/>
      <c r="L26" s="59"/>
      <c r="M26" s="59"/>
      <c r="N26" s="59"/>
      <c r="O26" s="59"/>
      <c r="P26" s="59"/>
      <c r="Q26" s="59"/>
      <c r="R26" s="59"/>
      <c r="S26" s="59"/>
    </row>
    <row r="27" spans="1:19" s="36" customFormat="1" ht="23.25" customHeight="1" x14ac:dyDescent="0.25">
      <c r="A27" s="262">
        <v>4</v>
      </c>
      <c r="B27" s="364" t="s">
        <v>65</v>
      </c>
      <c r="C27" s="364"/>
      <c r="D27" s="364"/>
      <c r="E27" s="364"/>
      <c r="F27" s="364"/>
      <c r="G27" s="364"/>
      <c r="H27" s="148" t="s">
        <v>113</v>
      </c>
      <c r="I27" s="261" t="s">
        <v>84</v>
      </c>
      <c r="J27" s="59"/>
      <c r="K27" s="59"/>
      <c r="L27" s="59"/>
      <c r="M27" s="59"/>
      <c r="N27" s="59"/>
      <c r="O27" s="59"/>
      <c r="P27" s="59"/>
      <c r="Q27" s="59"/>
      <c r="R27" s="59"/>
      <c r="S27" s="59"/>
    </row>
    <row r="28" spans="1:19" s="41" customFormat="1" x14ac:dyDescent="0.25">
      <c r="A28" s="262" t="s">
        <v>88</v>
      </c>
      <c r="B28" s="364" t="s">
        <v>87</v>
      </c>
      <c r="C28" s="364"/>
      <c r="D28" s="364"/>
      <c r="E28" s="364"/>
      <c r="F28" s="364"/>
      <c r="G28" s="364"/>
      <c r="H28" s="364"/>
      <c r="I28" s="364"/>
    </row>
    <row r="29" spans="1:19" s="40" customFormat="1" ht="20.25" customHeight="1" x14ac:dyDescent="0.25">
      <c r="A29" s="262" t="s">
        <v>4</v>
      </c>
      <c r="B29" s="360" t="s">
        <v>24</v>
      </c>
      <c r="C29" s="360"/>
      <c r="D29" s="360"/>
      <c r="E29" s="360"/>
      <c r="F29" s="360"/>
      <c r="G29" s="360"/>
      <c r="H29" s="360"/>
      <c r="I29" s="360"/>
      <c r="J29" s="41"/>
      <c r="K29" s="41"/>
      <c r="L29" s="41"/>
      <c r="M29" s="41"/>
      <c r="N29" s="41"/>
      <c r="O29" s="41"/>
      <c r="P29" s="41"/>
      <c r="Q29" s="41"/>
      <c r="R29" s="41"/>
      <c r="S29" s="41"/>
    </row>
    <row r="30" spans="1:19" s="24" customFormat="1" ht="32.25" customHeight="1" x14ac:dyDescent="0.25">
      <c r="A30" s="351" t="s">
        <v>25</v>
      </c>
      <c r="B30" s="353" t="s">
        <v>26</v>
      </c>
      <c r="C30" s="354"/>
      <c r="D30" s="354"/>
      <c r="E30" s="354"/>
      <c r="F30" s="354"/>
      <c r="G30" s="354"/>
      <c r="H30" s="354"/>
      <c r="I30" s="355"/>
    </row>
    <row r="31" spans="1:19" s="25" customFormat="1" ht="49.5" x14ac:dyDescent="0.25">
      <c r="A31" s="352"/>
      <c r="B31" s="353" t="s">
        <v>27</v>
      </c>
      <c r="C31" s="355"/>
      <c r="D31" s="21" t="s">
        <v>28</v>
      </c>
      <c r="E31" s="22" t="s">
        <v>29</v>
      </c>
      <c r="F31" s="22" t="s">
        <v>30</v>
      </c>
      <c r="G31" s="21" t="s">
        <v>31</v>
      </c>
      <c r="H31" s="22" t="s">
        <v>104</v>
      </c>
      <c r="I31" s="22" t="s">
        <v>33</v>
      </c>
    </row>
    <row r="32" spans="1:19" s="62" customFormat="1" ht="18.75" customHeight="1" x14ac:dyDescent="0.25">
      <c r="A32" s="61">
        <v>1</v>
      </c>
      <c r="B32" s="356">
        <v>2</v>
      </c>
      <c r="C32" s="357"/>
      <c r="D32" s="61">
        <v>3</v>
      </c>
      <c r="E32" s="61">
        <v>4</v>
      </c>
      <c r="F32" s="61">
        <v>5</v>
      </c>
      <c r="G32" s="61">
        <v>6</v>
      </c>
      <c r="H32" s="61">
        <v>7</v>
      </c>
      <c r="I32" s="61">
        <v>8</v>
      </c>
    </row>
    <row r="33" spans="1:9" s="68" customFormat="1" ht="39" customHeight="1" x14ac:dyDescent="0.25">
      <c r="A33" s="63">
        <v>1</v>
      </c>
      <c r="B33" s="358" t="s">
        <v>563</v>
      </c>
      <c r="C33" s="359"/>
      <c r="D33" s="64" t="s">
        <v>106</v>
      </c>
      <c r="E33" s="65">
        <f>C22</f>
        <v>62.2</v>
      </c>
      <c r="F33" s="63"/>
      <c r="G33" s="66"/>
      <c r="H33" s="166">
        <f>E33*F33*G33</f>
        <v>0</v>
      </c>
      <c r="I33" s="67"/>
    </row>
    <row r="34" spans="1:9" s="71" customFormat="1" ht="30.75" customHeight="1" x14ac:dyDescent="0.25">
      <c r="A34" s="69"/>
      <c r="B34" s="349" t="s">
        <v>34</v>
      </c>
      <c r="C34" s="350"/>
      <c r="D34" s="69"/>
      <c r="E34" s="69"/>
      <c r="F34" s="69"/>
      <c r="G34" s="69"/>
      <c r="H34" s="169">
        <f>SUM(H33:H33)</f>
        <v>0</v>
      </c>
      <c r="I34" s="69"/>
    </row>
    <row r="35" spans="1:9" ht="9" customHeight="1" x14ac:dyDescent="0.25">
      <c r="A35" s="77"/>
      <c r="B35" s="72"/>
      <c r="C35" s="72"/>
      <c r="D35" s="73"/>
      <c r="E35" s="73"/>
      <c r="F35" s="73"/>
      <c r="G35" s="73"/>
      <c r="H35" s="73"/>
      <c r="I35" s="73"/>
    </row>
    <row r="36" spans="1:9" ht="21" customHeight="1" x14ac:dyDescent="0.25">
      <c r="A36" s="75" t="s">
        <v>9</v>
      </c>
      <c r="B36" s="360" t="s">
        <v>35</v>
      </c>
      <c r="C36" s="360"/>
      <c r="D36" s="360"/>
      <c r="E36" s="360"/>
      <c r="F36" s="360"/>
      <c r="G36" s="360"/>
      <c r="H36" s="360"/>
      <c r="I36" s="360"/>
    </row>
    <row r="37" spans="1:9" s="254" customFormat="1" ht="49.5" x14ac:dyDescent="0.25">
      <c r="A37" s="29" t="s">
        <v>25</v>
      </c>
      <c r="B37" s="353" t="s">
        <v>27</v>
      </c>
      <c r="C37" s="355"/>
      <c r="D37" s="21" t="s">
        <v>28</v>
      </c>
      <c r="E37" s="22" t="s">
        <v>29</v>
      </c>
      <c r="F37" s="22" t="s">
        <v>30</v>
      </c>
      <c r="G37" s="21" t="s">
        <v>31</v>
      </c>
      <c r="H37" s="22" t="s">
        <v>32</v>
      </c>
      <c r="I37" s="22" t="s">
        <v>33</v>
      </c>
    </row>
    <row r="38" spans="1:9" s="62" customFormat="1" ht="18" customHeight="1" x14ac:dyDescent="0.25">
      <c r="A38" s="61">
        <v>1</v>
      </c>
      <c r="B38" s="356">
        <v>2</v>
      </c>
      <c r="C38" s="357"/>
      <c r="D38" s="61">
        <v>3</v>
      </c>
      <c r="E38" s="61">
        <v>4</v>
      </c>
      <c r="F38" s="61">
        <v>5</v>
      </c>
      <c r="G38" s="61">
        <v>6</v>
      </c>
      <c r="H38" s="61">
        <v>7</v>
      </c>
      <c r="I38" s="61">
        <v>8</v>
      </c>
    </row>
    <row r="39" spans="1:9" ht="35.25" customHeight="1" x14ac:dyDescent="0.25">
      <c r="A39" s="26">
        <v>1</v>
      </c>
      <c r="B39" s="353"/>
      <c r="C39" s="355"/>
      <c r="D39" s="27"/>
      <c r="E39" s="22"/>
      <c r="F39" s="27"/>
      <c r="G39" s="27"/>
      <c r="H39" s="27"/>
      <c r="I39" s="26" t="s">
        <v>36</v>
      </c>
    </row>
    <row r="40" spans="1:9" s="71" customFormat="1" ht="25.5" customHeight="1" x14ac:dyDescent="0.25">
      <c r="A40" s="69"/>
      <c r="B40" s="349" t="s">
        <v>34</v>
      </c>
      <c r="C40" s="350"/>
      <c r="D40" s="74"/>
      <c r="E40" s="69"/>
      <c r="F40" s="74"/>
      <c r="G40" s="74"/>
      <c r="H40" s="74"/>
      <c r="I40" s="69"/>
    </row>
    <row r="41" spans="1:9" x14ac:dyDescent="0.25">
      <c r="A41" s="124"/>
      <c r="B41" s="75"/>
      <c r="C41" s="75"/>
      <c r="D41" s="258"/>
      <c r="E41" s="75"/>
      <c r="F41" s="258"/>
      <c r="G41" s="258"/>
      <c r="H41" s="258"/>
      <c r="I41" s="75"/>
    </row>
    <row r="42" spans="1:9" x14ac:dyDescent="0.25">
      <c r="A42" s="324"/>
      <c r="B42" s="327" t="s">
        <v>37</v>
      </c>
      <c r="C42" s="328"/>
      <c r="D42" s="328"/>
      <c r="E42" s="328"/>
      <c r="F42" s="328"/>
      <c r="G42" s="329"/>
      <c r="H42" s="27"/>
      <c r="I42" s="26" t="s">
        <v>74</v>
      </c>
    </row>
    <row r="43" spans="1:9" x14ac:dyDescent="0.25">
      <c r="A43" s="325"/>
      <c r="B43" s="330" t="s">
        <v>38</v>
      </c>
      <c r="C43" s="331"/>
      <c r="D43" s="331"/>
      <c r="E43" s="331"/>
      <c r="F43" s="331"/>
      <c r="G43" s="332"/>
      <c r="H43" s="27"/>
      <c r="I43" s="26" t="s">
        <v>74</v>
      </c>
    </row>
    <row r="44" spans="1:9" x14ac:dyDescent="0.25">
      <c r="A44" s="326"/>
      <c r="B44" s="333" t="s">
        <v>39</v>
      </c>
      <c r="C44" s="334"/>
      <c r="D44" s="334"/>
      <c r="E44" s="334"/>
      <c r="F44" s="334"/>
      <c r="G44" s="335"/>
      <c r="H44" s="27"/>
      <c r="I44" s="26" t="s">
        <v>74</v>
      </c>
    </row>
    <row r="45" spans="1:9" ht="6.75" customHeight="1" x14ac:dyDescent="0.25">
      <c r="A45" s="77"/>
      <c r="B45" s="72"/>
      <c r="C45" s="72"/>
      <c r="D45" s="72"/>
      <c r="E45" s="78"/>
      <c r="F45" s="72"/>
      <c r="G45" s="72"/>
      <c r="H45" s="79"/>
      <c r="I45" s="79"/>
    </row>
    <row r="46" spans="1:9" ht="21" customHeight="1" x14ac:dyDescent="0.25">
      <c r="A46" s="125" t="s">
        <v>22</v>
      </c>
      <c r="B46" s="376" t="s">
        <v>40</v>
      </c>
      <c r="C46" s="376"/>
      <c r="D46" s="376"/>
      <c r="E46" s="376"/>
      <c r="F46" s="376"/>
      <c r="G46" s="376"/>
      <c r="H46" s="255"/>
      <c r="I46" s="81"/>
    </row>
    <row r="47" spans="1:9" s="30" customFormat="1" ht="49.5" x14ac:dyDescent="0.25">
      <c r="A47" s="21" t="s">
        <v>25</v>
      </c>
      <c r="B47" s="21" t="s">
        <v>41</v>
      </c>
      <c r="C47" s="21" t="s">
        <v>28</v>
      </c>
      <c r="D47" s="21" t="s">
        <v>42</v>
      </c>
      <c r="E47" s="21" t="s">
        <v>43</v>
      </c>
      <c r="F47" s="22" t="s">
        <v>30</v>
      </c>
      <c r="G47" s="21" t="s">
        <v>31</v>
      </c>
      <c r="H47" s="21" t="s">
        <v>45</v>
      </c>
      <c r="I47" s="21" t="s">
        <v>33</v>
      </c>
    </row>
    <row r="48" spans="1:9" s="83" customFormat="1" ht="18" customHeight="1" x14ac:dyDescent="0.25">
      <c r="A48" s="82">
        <v>1</v>
      </c>
      <c r="B48" s="82">
        <v>2</v>
      </c>
      <c r="C48" s="82">
        <v>3</v>
      </c>
      <c r="D48" s="82">
        <v>4</v>
      </c>
      <c r="E48" s="82">
        <v>5</v>
      </c>
      <c r="F48" s="82">
        <v>6</v>
      </c>
      <c r="G48" s="82">
        <v>7</v>
      </c>
      <c r="H48" s="82">
        <v>8</v>
      </c>
      <c r="I48" s="82">
        <v>9</v>
      </c>
    </row>
    <row r="49" spans="1:12" s="89" customFormat="1" ht="30" customHeight="1" x14ac:dyDescent="0.25">
      <c r="A49" s="21" t="s">
        <v>46</v>
      </c>
      <c r="B49" s="84" t="s">
        <v>47</v>
      </c>
      <c r="C49" s="85"/>
      <c r="D49" s="85"/>
      <c r="E49" s="86"/>
      <c r="F49" s="85"/>
      <c r="G49" s="85"/>
      <c r="H49" s="167">
        <f>SUM(H50:H55)</f>
        <v>0</v>
      </c>
      <c r="I49" s="88"/>
    </row>
    <row r="50" spans="1:12" s="89" customFormat="1" ht="25.15" customHeight="1" x14ac:dyDescent="0.25">
      <c r="A50" s="256">
        <v>1</v>
      </c>
      <c r="B50" s="91" t="s">
        <v>151</v>
      </c>
      <c r="C50" s="64" t="s">
        <v>106</v>
      </c>
      <c r="D50" s="256" t="s">
        <v>475</v>
      </c>
      <c r="E50" s="92">
        <v>5.51</v>
      </c>
      <c r="F50" s="93"/>
      <c r="G50" s="93"/>
      <c r="H50" s="159"/>
      <c r="I50" s="347" t="s">
        <v>110</v>
      </c>
    </row>
    <row r="51" spans="1:12" s="89" customFormat="1" ht="25.15" customHeight="1" x14ac:dyDescent="0.25">
      <c r="A51" s="256">
        <v>2</v>
      </c>
      <c r="B51" s="91" t="s">
        <v>257</v>
      </c>
      <c r="C51" s="64" t="s">
        <v>106</v>
      </c>
      <c r="D51" s="256" t="s">
        <v>476</v>
      </c>
      <c r="E51" s="92">
        <f>5.3*5.51</f>
        <v>29.202999999999999</v>
      </c>
      <c r="F51" s="93"/>
      <c r="G51" s="93"/>
      <c r="H51" s="159"/>
      <c r="I51" s="348"/>
    </row>
    <row r="52" spans="1:12" s="89" customFormat="1" ht="25.15" customHeight="1" x14ac:dyDescent="0.25">
      <c r="A52" s="256"/>
      <c r="B52" s="91" t="s">
        <v>90</v>
      </c>
      <c r="C52" s="64" t="s">
        <v>106</v>
      </c>
      <c r="D52" s="256" t="s">
        <v>477</v>
      </c>
      <c r="E52" s="92">
        <f>2.5*5.51</f>
        <v>13.774999999999999</v>
      </c>
      <c r="F52" s="93"/>
      <c r="G52" s="93"/>
      <c r="H52" s="159"/>
      <c r="I52" s="348"/>
    </row>
    <row r="53" spans="1:12" s="89" customFormat="1" ht="71.25" customHeight="1" x14ac:dyDescent="0.25">
      <c r="A53" s="256">
        <v>3</v>
      </c>
      <c r="B53" s="91" t="s">
        <v>478</v>
      </c>
      <c r="C53" s="64" t="s">
        <v>106</v>
      </c>
      <c r="D53" s="96" t="s">
        <v>479</v>
      </c>
      <c r="E53" s="231">
        <f>C22+(3.48*8.46)</f>
        <v>91.640800000000013</v>
      </c>
      <c r="F53" s="93"/>
      <c r="G53" s="93"/>
      <c r="H53" s="159"/>
      <c r="I53" s="348"/>
    </row>
    <row r="54" spans="1:12" s="89" customFormat="1" ht="39.6" customHeight="1" x14ac:dyDescent="0.25">
      <c r="A54" s="256"/>
      <c r="B54" s="132" t="s">
        <v>109</v>
      </c>
      <c r="C54" s="64" t="s">
        <v>106</v>
      </c>
      <c r="D54" s="96" t="s">
        <v>156</v>
      </c>
      <c r="E54" s="231">
        <f>C22</f>
        <v>62.2</v>
      </c>
      <c r="F54" s="93"/>
      <c r="G54" s="93"/>
      <c r="H54" s="159"/>
      <c r="I54" s="348"/>
    </row>
    <row r="55" spans="1:12" s="89" customFormat="1" ht="33" x14ac:dyDescent="0.25">
      <c r="A55" s="256"/>
      <c r="B55" s="132" t="s">
        <v>264</v>
      </c>
      <c r="C55" s="64" t="s">
        <v>106</v>
      </c>
      <c r="D55" s="96"/>
      <c r="E55" s="92">
        <f>E53-E54</f>
        <v>29.44080000000001</v>
      </c>
      <c r="F55" s="93"/>
      <c r="G55" s="93"/>
      <c r="H55" s="159"/>
      <c r="I55" s="348"/>
    </row>
    <row r="56" spans="1:12" s="89" customFormat="1" ht="25.5" customHeight="1" x14ac:dyDescent="0.25">
      <c r="A56" s="21" t="s">
        <v>48</v>
      </c>
      <c r="B56" s="84" t="s">
        <v>49</v>
      </c>
      <c r="C56" s="85"/>
      <c r="D56" s="85"/>
      <c r="E56" s="92"/>
      <c r="F56" s="85"/>
      <c r="G56" s="85"/>
      <c r="H56" s="167">
        <f>H57</f>
        <v>0</v>
      </c>
      <c r="I56" s="95"/>
    </row>
    <row r="57" spans="1:12" s="89" customFormat="1" x14ac:dyDescent="0.25">
      <c r="A57" s="256"/>
      <c r="B57" s="186"/>
      <c r="C57" s="93"/>
      <c r="D57" s="93"/>
      <c r="E57" s="92"/>
      <c r="F57" s="85"/>
      <c r="G57" s="85"/>
      <c r="H57" s="201"/>
      <c r="I57" s="256"/>
    </row>
    <row r="58" spans="1:12" s="102" customFormat="1" ht="31.5" customHeight="1" x14ac:dyDescent="0.25">
      <c r="A58" s="126"/>
      <c r="B58" s="100" t="s">
        <v>50</v>
      </c>
      <c r="C58" s="100"/>
      <c r="D58" s="100"/>
      <c r="E58" s="100"/>
      <c r="F58" s="100"/>
      <c r="G58" s="100"/>
      <c r="H58" s="158">
        <f>H49+H56</f>
        <v>0</v>
      </c>
      <c r="I58" s="101"/>
    </row>
    <row r="59" spans="1:12" ht="22.5" customHeight="1" x14ac:dyDescent="0.25">
      <c r="A59" s="127">
        <v>4</v>
      </c>
      <c r="B59" s="337" t="s">
        <v>51</v>
      </c>
      <c r="C59" s="337"/>
      <c r="D59" s="337"/>
      <c r="E59" s="337"/>
      <c r="F59" s="337"/>
      <c r="G59" s="337"/>
      <c r="H59" s="51"/>
      <c r="I59" s="51"/>
    </row>
    <row r="60" spans="1:12" s="104" customFormat="1" ht="49.5" x14ac:dyDescent="0.25">
      <c r="A60" s="103" t="s">
        <v>25</v>
      </c>
      <c r="B60" s="338" t="s">
        <v>52</v>
      </c>
      <c r="C60" s="339"/>
      <c r="D60" s="21" t="s">
        <v>29</v>
      </c>
      <c r="E60" s="21" t="s">
        <v>53</v>
      </c>
      <c r="F60" s="21" t="s">
        <v>44</v>
      </c>
      <c r="G60" s="21" t="s">
        <v>54</v>
      </c>
      <c r="H60" s="21" t="s">
        <v>45</v>
      </c>
      <c r="I60" s="21" t="s">
        <v>33</v>
      </c>
    </row>
    <row r="61" spans="1:12" ht="28.5" customHeight="1" x14ac:dyDescent="0.25">
      <c r="A61" s="105"/>
      <c r="B61" s="340"/>
      <c r="C61" s="341"/>
      <c r="D61" s="106"/>
      <c r="E61" s="105"/>
      <c r="F61" s="107"/>
      <c r="G61" s="108"/>
      <c r="H61" s="108"/>
      <c r="I61" s="109"/>
      <c r="L61" s="110"/>
    </row>
    <row r="62" spans="1:12" s="112" customFormat="1" ht="27.75" customHeight="1" x14ac:dyDescent="0.25">
      <c r="A62" s="126"/>
      <c r="B62" s="342" t="s">
        <v>34</v>
      </c>
      <c r="C62" s="343"/>
      <c r="D62" s="100"/>
      <c r="E62" s="100"/>
      <c r="F62" s="100"/>
      <c r="G62" s="100"/>
      <c r="H62" s="163">
        <f>SUM(H61)</f>
        <v>0</v>
      </c>
      <c r="I62" s="111"/>
      <c r="L62" s="113"/>
    </row>
    <row r="63" spans="1:12" s="115" customFormat="1" ht="27.75" customHeight="1" x14ac:dyDescent="0.25">
      <c r="A63" s="128">
        <v>5</v>
      </c>
      <c r="B63" s="344" t="s">
        <v>56</v>
      </c>
      <c r="C63" s="344"/>
      <c r="D63" s="344"/>
      <c r="E63" s="344"/>
      <c r="F63" s="344"/>
      <c r="G63" s="345"/>
      <c r="H63" s="164">
        <f>H62+H58+H40+H34</f>
        <v>0</v>
      </c>
      <c r="I63" s="114" t="s">
        <v>57</v>
      </c>
    </row>
    <row r="64" spans="1:12" s="117" customFormat="1" ht="17.25" x14ac:dyDescent="0.25">
      <c r="A64" s="129"/>
      <c r="B64" s="116" t="s">
        <v>78</v>
      </c>
      <c r="C64" s="346" t="s">
        <v>91</v>
      </c>
      <c r="D64" s="346"/>
      <c r="E64" s="346"/>
      <c r="F64" s="346"/>
      <c r="G64" s="346"/>
      <c r="H64" s="346"/>
      <c r="I64" s="346"/>
    </row>
    <row r="65" spans="1:9" s="41" customFormat="1" ht="17.25" hidden="1" x14ac:dyDescent="0.3">
      <c r="A65" s="262"/>
      <c r="B65" s="118"/>
      <c r="E65" s="119"/>
      <c r="F65" s="316" t="s">
        <v>75</v>
      </c>
      <c r="G65" s="316"/>
      <c r="H65" s="316"/>
      <c r="I65" s="316"/>
    </row>
    <row r="66" spans="1:9" hidden="1" x14ac:dyDescent="0.25">
      <c r="F66" s="316" t="s">
        <v>76</v>
      </c>
      <c r="G66" s="316"/>
      <c r="H66" s="316"/>
      <c r="I66" s="316"/>
    </row>
    <row r="67" spans="1:9" hidden="1" x14ac:dyDescent="0.25">
      <c r="F67" s="317"/>
      <c r="G67" s="317"/>
      <c r="H67" s="317"/>
      <c r="I67" s="317"/>
    </row>
    <row r="68" spans="1:9" hidden="1" x14ac:dyDescent="0.25"/>
    <row r="69" spans="1:9" hidden="1" x14ac:dyDescent="0.25"/>
    <row r="70" spans="1:9" hidden="1" x14ac:dyDescent="0.25"/>
    <row r="71" spans="1:9" hidden="1" x14ac:dyDescent="0.25"/>
    <row r="72" spans="1:9" hidden="1" x14ac:dyDescent="0.25"/>
    <row r="73" spans="1:9" hidden="1" x14ac:dyDescent="0.25">
      <c r="F73" s="318" t="s">
        <v>77</v>
      </c>
      <c r="G73" s="318"/>
      <c r="H73" s="318"/>
      <c r="I73" s="318"/>
    </row>
    <row r="74" spans="1:9" ht="65.25" customHeight="1" x14ac:dyDescent="0.25">
      <c r="A74" s="319" t="s">
        <v>100</v>
      </c>
      <c r="B74" s="319"/>
      <c r="C74" s="319"/>
      <c r="D74" s="319"/>
      <c r="E74" s="319"/>
      <c r="F74" s="319"/>
      <c r="G74" s="319"/>
      <c r="H74" s="319"/>
      <c r="I74" s="319"/>
    </row>
    <row r="75" spans="1:9" x14ac:dyDescent="0.25">
      <c r="A75" s="315" t="s">
        <v>102</v>
      </c>
      <c r="B75" s="315"/>
      <c r="C75" s="315"/>
      <c r="D75" s="315"/>
      <c r="E75" s="315"/>
      <c r="F75" s="315"/>
      <c r="G75" s="315"/>
      <c r="H75" s="315"/>
      <c r="I75" s="315"/>
    </row>
    <row r="76" spans="1:9" x14ac:dyDescent="0.25">
      <c r="A76" s="320" t="s">
        <v>107</v>
      </c>
      <c r="B76" s="320"/>
      <c r="C76" s="320"/>
      <c r="D76" s="321"/>
      <c r="E76" s="322" t="s">
        <v>108</v>
      </c>
      <c r="F76" s="323"/>
      <c r="G76" s="323"/>
      <c r="H76" s="323"/>
      <c r="I76" s="323"/>
    </row>
    <row r="77" spans="1:9" x14ac:dyDescent="0.25">
      <c r="A77" s="320"/>
      <c r="B77" s="320"/>
      <c r="C77" s="320"/>
      <c r="D77" s="321"/>
      <c r="E77" s="322"/>
      <c r="F77" s="323"/>
      <c r="G77" s="323"/>
      <c r="H77" s="323"/>
      <c r="I77" s="323"/>
    </row>
    <row r="78" spans="1:9" x14ac:dyDescent="0.25">
      <c r="A78" s="320"/>
      <c r="B78" s="320"/>
      <c r="C78" s="320"/>
      <c r="D78" s="321"/>
      <c r="E78" s="38"/>
      <c r="I78" s="20"/>
    </row>
    <row r="79" spans="1:9" x14ac:dyDescent="0.25">
      <c r="A79" s="315" t="s">
        <v>101</v>
      </c>
      <c r="B79" s="315"/>
      <c r="C79" s="315"/>
      <c r="D79" s="315"/>
      <c r="E79" s="315"/>
      <c r="F79" s="315"/>
      <c r="G79" s="315"/>
      <c r="H79" s="315"/>
      <c r="I79" s="315"/>
    </row>
  </sheetData>
  <mergeCells count="57">
    <mergeCell ref="A1:D1"/>
    <mergeCell ref="E1:I1"/>
    <mergeCell ref="A2:D2"/>
    <mergeCell ref="E2:I2"/>
    <mergeCell ref="A4:C4"/>
    <mergeCell ref="E4:I4"/>
    <mergeCell ref="A5:I5"/>
    <mergeCell ref="A6:I6"/>
    <mergeCell ref="A7:I7"/>
    <mergeCell ref="B8:I8"/>
    <mergeCell ref="B9:E9"/>
    <mergeCell ref="F9:I9"/>
    <mergeCell ref="B28:I28"/>
    <mergeCell ref="C10:I10"/>
    <mergeCell ref="C11:I11"/>
    <mergeCell ref="F13:I13"/>
    <mergeCell ref="C14:I14"/>
    <mergeCell ref="C15:I15"/>
    <mergeCell ref="B17:I17"/>
    <mergeCell ref="D19:E19"/>
    <mergeCell ref="C24:I24"/>
    <mergeCell ref="C25:I25"/>
    <mergeCell ref="B26:F26"/>
    <mergeCell ref="B27:G27"/>
    <mergeCell ref="B40:C40"/>
    <mergeCell ref="B29:I29"/>
    <mergeCell ref="A30:A31"/>
    <mergeCell ref="B30:I30"/>
    <mergeCell ref="B31:C31"/>
    <mergeCell ref="B32:C32"/>
    <mergeCell ref="B33:C33"/>
    <mergeCell ref="B34:C34"/>
    <mergeCell ref="B36:I36"/>
    <mergeCell ref="B37:C37"/>
    <mergeCell ref="B38:C38"/>
    <mergeCell ref="B39:C39"/>
    <mergeCell ref="C64:I64"/>
    <mergeCell ref="A42:A44"/>
    <mergeCell ref="B42:G42"/>
    <mergeCell ref="B43:G43"/>
    <mergeCell ref="B44:G44"/>
    <mergeCell ref="B46:G46"/>
    <mergeCell ref="I50:I55"/>
    <mergeCell ref="B59:G59"/>
    <mergeCell ref="B60:C60"/>
    <mergeCell ref="B61:C61"/>
    <mergeCell ref="B62:C62"/>
    <mergeCell ref="B63:G63"/>
    <mergeCell ref="A76:D78"/>
    <mergeCell ref="E76:I77"/>
    <mergeCell ref="A79:I79"/>
    <mergeCell ref="F65:I65"/>
    <mergeCell ref="F66:I66"/>
    <mergeCell ref="F67:I67"/>
    <mergeCell ref="F73:I73"/>
    <mergeCell ref="A74:I74"/>
    <mergeCell ref="A75:I75"/>
  </mergeCells>
  <printOptions horizontalCentered="1"/>
  <pageMargins left="0.15748031496062992" right="0.15748031496062992" top="0.31496062992125984" bottom="0.15748031496062992" header="0.31496062992125984" footer="0.15748031496062992"/>
  <pageSetup paperSize="9" scale="80" orientation="portrait" r:id="rId1"/>
  <drawing r:id="rId2"/>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76"/>
  <sheetViews>
    <sheetView topLeftCell="A31" workbookViewId="0">
      <selection activeCell="D35" sqref="D35"/>
    </sheetView>
  </sheetViews>
  <sheetFormatPr defaultColWidth="9.140625" defaultRowHeight="16.5" x14ac:dyDescent="0.25"/>
  <cols>
    <col min="1" max="1" width="4.28515625" style="68" customWidth="1"/>
    <col min="2" max="2" width="27.28515625" style="20" customWidth="1"/>
    <col min="3" max="3" width="8.7109375" style="20" customWidth="1"/>
    <col min="4" max="4" width="22.7109375" style="20" customWidth="1"/>
    <col min="5" max="5" width="9.7109375" style="254" customWidth="1"/>
    <col min="6" max="6" width="12.28515625" style="20" customWidth="1"/>
    <col min="7" max="7" width="9.42578125" style="20" customWidth="1"/>
    <col min="8" max="8" width="15" style="20" customWidth="1"/>
    <col min="9" max="9" width="14.28515625" style="120" customWidth="1"/>
    <col min="10" max="11" width="9.140625" style="20"/>
    <col min="12" max="12" width="11.42578125" style="20" customWidth="1"/>
    <col min="13" max="16384" width="9.140625" style="20"/>
  </cols>
  <sheetData>
    <row r="1" spans="1:17" s="36" customFormat="1" x14ac:dyDescent="0.25">
      <c r="A1" s="368" t="s">
        <v>98</v>
      </c>
      <c r="B1" s="368"/>
      <c r="C1" s="368"/>
      <c r="D1" s="368"/>
      <c r="E1" s="368" t="s">
        <v>0</v>
      </c>
      <c r="F1" s="368"/>
      <c r="G1" s="368"/>
      <c r="H1" s="368"/>
      <c r="I1" s="368"/>
    </row>
    <row r="2" spans="1:17" s="36" customFormat="1" x14ac:dyDescent="0.25">
      <c r="A2" s="369" t="s">
        <v>99</v>
      </c>
      <c r="B2" s="369"/>
      <c r="C2" s="369"/>
      <c r="D2" s="369"/>
      <c r="E2" s="369" t="s">
        <v>1</v>
      </c>
      <c r="F2" s="368"/>
      <c r="G2" s="368"/>
      <c r="H2" s="368"/>
      <c r="I2" s="368"/>
    </row>
    <row r="3" spans="1:17" s="36" customFormat="1" ht="20.25" customHeight="1" x14ac:dyDescent="0.25">
      <c r="A3" s="262"/>
      <c r="C3" s="262"/>
      <c r="D3" s="262"/>
      <c r="E3" s="262"/>
      <c r="F3" s="262"/>
      <c r="G3" s="262"/>
      <c r="H3" s="262"/>
      <c r="I3" s="37"/>
    </row>
    <row r="4" spans="1:17" s="36" customFormat="1" ht="23.25" customHeight="1" x14ac:dyDescent="0.25">
      <c r="A4" s="369" t="s">
        <v>89</v>
      </c>
      <c r="B4" s="369"/>
      <c r="C4" s="369"/>
      <c r="E4" s="370" t="s">
        <v>185</v>
      </c>
      <c r="F4" s="370"/>
      <c r="G4" s="370"/>
      <c r="H4" s="370"/>
      <c r="I4" s="370"/>
    </row>
    <row r="5" spans="1:17" s="40" customFormat="1" ht="24" customHeight="1" x14ac:dyDescent="0.25">
      <c r="A5" s="371" t="s">
        <v>85</v>
      </c>
      <c r="B5" s="371"/>
      <c r="C5" s="371"/>
      <c r="D5" s="371"/>
      <c r="E5" s="371"/>
      <c r="F5" s="371"/>
      <c r="G5" s="371"/>
      <c r="H5" s="371"/>
      <c r="I5" s="371"/>
    </row>
    <row r="6" spans="1:17" s="40" customFormat="1" ht="39.75" customHeight="1" x14ac:dyDescent="0.25">
      <c r="A6" s="372" t="s">
        <v>86</v>
      </c>
      <c r="B6" s="372"/>
      <c r="C6" s="372"/>
      <c r="D6" s="372"/>
      <c r="E6" s="372"/>
      <c r="F6" s="372"/>
      <c r="G6" s="372"/>
      <c r="H6" s="372"/>
      <c r="I6" s="372"/>
      <c r="Q6" s="41"/>
    </row>
    <row r="7" spans="1:17" s="40" customFormat="1" ht="21.75" customHeight="1" x14ac:dyDescent="0.25">
      <c r="A7" s="373" t="s">
        <v>207</v>
      </c>
      <c r="B7" s="373"/>
      <c r="C7" s="373"/>
      <c r="D7" s="373"/>
      <c r="E7" s="373"/>
      <c r="F7" s="373"/>
      <c r="G7" s="373"/>
      <c r="H7" s="373"/>
      <c r="I7" s="373"/>
    </row>
    <row r="8" spans="1:17" s="259" customFormat="1" ht="19.899999999999999" customHeight="1" x14ac:dyDescent="0.25">
      <c r="A8" s="263" t="s">
        <v>2</v>
      </c>
      <c r="B8" s="362" t="s">
        <v>3</v>
      </c>
      <c r="C8" s="362"/>
      <c r="D8" s="362"/>
      <c r="E8" s="362"/>
      <c r="F8" s="362"/>
      <c r="G8" s="362"/>
      <c r="H8" s="362"/>
      <c r="I8" s="362"/>
    </row>
    <row r="9" spans="1:17" s="259" customFormat="1" ht="19.899999999999999" customHeight="1" x14ac:dyDescent="0.25">
      <c r="A9" s="263" t="s">
        <v>4</v>
      </c>
      <c r="B9" s="374" t="s">
        <v>5</v>
      </c>
      <c r="C9" s="374"/>
      <c r="D9" s="374"/>
      <c r="E9" s="374"/>
      <c r="F9" s="365" t="s">
        <v>558</v>
      </c>
      <c r="G9" s="365"/>
      <c r="H9" s="365"/>
      <c r="I9" s="365"/>
    </row>
    <row r="10" spans="1:17" s="259" customFormat="1" ht="19.899999999999999" customHeight="1" x14ac:dyDescent="0.25">
      <c r="A10" s="122"/>
      <c r="B10" s="24" t="s">
        <v>6</v>
      </c>
      <c r="C10" s="365" t="s">
        <v>480</v>
      </c>
      <c r="D10" s="365"/>
      <c r="E10" s="365"/>
      <c r="F10" s="365"/>
      <c r="G10" s="365"/>
      <c r="H10" s="365"/>
      <c r="I10" s="365"/>
    </row>
    <row r="11" spans="1:17" s="259" customFormat="1" ht="19.899999999999999" customHeight="1" x14ac:dyDescent="0.25">
      <c r="A11" s="122"/>
      <c r="B11" s="24" t="s">
        <v>7</v>
      </c>
      <c r="C11" s="365" t="s">
        <v>480</v>
      </c>
      <c r="D11" s="365"/>
      <c r="E11" s="365"/>
      <c r="F11" s="365"/>
      <c r="G11" s="365"/>
      <c r="H11" s="365"/>
      <c r="I11" s="365"/>
    </row>
    <row r="12" spans="1:17" s="259" customFormat="1" ht="19.899999999999999" customHeight="1" x14ac:dyDescent="0.25">
      <c r="A12" s="122"/>
      <c r="B12" s="24" t="s">
        <v>11</v>
      </c>
      <c r="C12" s="233" t="s">
        <v>481</v>
      </c>
      <c r="D12" s="233"/>
      <c r="E12" s="233"/>
      <c r="F12" s="43"/>
      <c r="G12" s="43"/>
      <c r="H12" s="43"/>
      <c r="I12" s="43"/>
    </row>
    <row r="13" spans="1:17" s="259" customFormat="1" ht="19.899999999999999" customHeight="1" x14ac:dyDescent="0.25">
      <c r="A13" s="263" t="s">
        <v>9</v>
      </c>
      <c r="B13" s="44" t="s">
        <v>10</v>
      </c>
      <c r="E13" s="43"/>
      <c r="F13" s="362" t="str">
        <f>F9</f>
        <v>Nguyễn Đắc Vũ (Đỗ Thị Lan)</v>
      </c>
      <c r="G13" s="362"/>
      <c r="H13" s="362"/>
      <c r="I13" s="362"/>
      <c r="J13" s="143"/>
    </row>
    <row r="14" spans="1:17" s="259" customFormat="1" ht="19.899999999999999" customHeight="1" x14ac:dyDescent="0.25">
      <c r="A14" s="122"/>
      <c r="B14" s="24" t="s">
        <v>6</v>
      </c>
      <c r="C14" s="365" t="str">
        <f>+C10</f>
        <v>Thôn Đồi 1- Xã Phú Nghĩa - TP Hà Nội</v>
      </c>
      <c r="D14" s="365"/>
      <c r="E14" s="365"/>
      <c r="F14" s="365"/>
      <c r="G14" s="365"/>
      <c r="H14" s="365"/>
      <c r="I14" s="365"/>
    </row>
    <row r="15" spans="1:17" s="259" customFormat="1" ht="19.899999999999999" customHeight="1" x14ac:dyDescent="0.25">
      <c r="A15" s="122"/>
      <c r="B15" s="24" t="s">
        <v>7</v>
      </c>
      <c r="C15" s="365" t="str">
        <f>C11</f>
        <v>Thôn Đồi 1- Xã Phú Nghĩa - TP Hà Nội</v>
      </c>
      <c r="D15" s="365"/>
      <c r="E15" s="365"/>
      <c r="F15" s="365"/>
      <c r="G15" s="365"/>
      <c r="H15" s="365"/>
      <c r="I15" s="365"/>
    </row>
    <row r="16" spans="1:17" s="259" customFormat="1" ht="19.899999999999999" customHeight="1" x14ac:dyDescent="0.25">
      <c r="A16" s="122"/>
      <c r="B16" s="24" t="s">
        <v>11</v>
      </c>
      <c r="C16" s="233" t="str">
        <f>+C12</f>
        <v>001089015139</v>
      </c>
      <c r="D16" s="233"/>
      <c r="E16" s="233"/>
      <c r="F16" s="43"/>
      <c r="G16" s="43"/>
      <c r="H16" s="43"/>
      <c r="I16" s="43"/>
    </row>
    <row r="17" spans="1:19" s="259" customFormat="1" ht="19.899999999999999" customHeight="1" x14ac:dyDescent="0.25">
      <c r="A17" s="263" t="s">
        <v>12</v>
      </c>
      <c r="B17" s="362" t="s">
        <v>13</v>
      </c>
      <c r="C17" s="362"/>
      <c r="D17" s="362"/>
      <c r="E17" s="362"/>
      <c r="F17" s="362"/>
      <c r="G17" s="362"/>
      <c r="H17" s="362"/>
      <c r="I17" s="362"/>
    </row>
    <row r="18" spans="1:19" s="259" customFormat="1" ht="19.899999999999999" customHeight="1" x14ac:dyDescent="0.25">
      <c r="A18" s="263" t="s">
        <v>4</v>
      </c>
      <c r="B18" s="46" t="s">
        <v>14</v>
      </c>
      <c r="E18" s="43"/>
    </row>
    <row r="19" spans="1:19" s="51" customFormat="1" ht="19.899999999999999" customHeight="1" x14ac:dyDescent="0.25">
      <c r="A19" s="123"/>
      <c r="B19" s="47" t="s">
        <v>15</v>
      </c>
      <c r="C19" s="48">
        <v>24</v>
      </c>
      <c r="D19" s="363" t="s">
        <v>16</v>
      </c>
      <c r="E19" s="363"/>
      <c r="F19" s="49" t="s">
        <v>119</v>
      </c>
      <c r="G19" s="50"/>
      <c r="I19" s="50"/>
    </row>
    <row r="20" spans="1:19" s="51" customFormat="1" ht="19.899999999999999" customHeight="1" x14ac:dyDescent="0.25">
      <c r="A20" s="123"/>
      <c r="B20" s="47" t="s">
        <v>17</v>
      </c>
      <c r="C20" s="52">
        <v>130</v>
      </c>
      <c r="D20" s="50" t="s">
        <v>105</v>
      </c>
      <c r="E20" s="53"/>
      <c r="F20" s="54"/>
      <c r="H20" s="55"/>
      <c r="I20" s="50"/>
    </row>
    <row r="21" spans="1:19" s="51" customFormat="1" ht="19.899999999999999" customHeight="1" x14ac:dyDescent="0.25">
      <c r="A21" s="123"/>
      <c r="B21" s="56" t="s">
        <v>18</v>
      </c>
      <c r="C21" s="57"/>
      <c r="D21" s="50"/>
      <c r="E21" s="53"/>
      <c r="F21" s="50"/>
      <c r="H21" s="55"/>
      <c r="I21" s="50"/>
    </row>
    <row r="22" spans="1:19" s="51" customFormat="1" ht="19.899999999999999" customHeight="1" x14ac:dyDescent="0.25">
      <c r="A22" s="123"/>
      <c r="B22" s="47" t="s">
        <v>19</v>
      </c>
      <c r="C22" s="52">
        <v>38.299999999999997</v>
      </c>
      <c r="D22" s="50" t="s">
        <v>105</v>
      </c>
      <c r="E22" s="53"/>
      <c r="F22" s="50"/>
      <c r="H22" s="55"/>
      <c r="I22" s="50"/>
      <c r="J22" s="133"/>
    </row>
    <row r="23" spans="1:19" s="51" customFormat="1" ht="19.899999999999999" customHeight="1" x14ac:dyDescent="0.25">
      <c r="A23" s="123"/>
      <c r="B23" s="47" t="s">
        <v>20</v>
      </c>
      <c r="C23" s="57">
        <f>C20-C22</f>
        <v>91.7</v>
      </c>
      <c r="D23" s="50" t="s">
        <v>105</v>
      </c>
      <c r="E23" s="53"/>
      <c r="F23" s="50"/>
      <c r="H23" s="55"/>
      <c r="I23" s="50"/>
      <c r="J23" s="142"/>
    </row>
    <row r="24" spans="1:19" s="259" customFormat="1" ht="22.5" customHeight="1" x14ac:dyDescent="0.25">
      <c r="A24" s="122"/>
      <c r="B24" s="24" t="s">
        <v>21</v>
      </c>
      <c r="C24" s="362" t="s">
        <v>251</v>
      </c>
      <c r="D24" s="362"/>
      <c r="E24" s="362"/>
      <c r="F24" s="362"/>
      <c r="G24" s="362"/>
      <c r="H24" s="362"/>
      <c r="I24" s="362"/>
    </row>
    <row r="25" spans="1:19" s="36" customFormat="1" ht="175.9" customHeight="1" x14ac:dyDescent="0.25">
      <c r="A25" s="262">
        <v>2</v>
      </c>
      <c r="B25" s="260" t="s">
        <v>73</v>
      </c>
      <c r="C25" s="366" t="s">
        <v>590</v>
      </c>
      <c r="D25" s="367"/>
      <c r="E25" s="367"/>
      <c r="F25" s="367"/>
      <c r="G25" s="367"/>
      <c r="H25" s="367"/>
      <c r="I25" s="367"/>
      <c r="J25" s="133"/>
      <c r="K25" s="243"/>
      <c r="L25" s="59"/>
      <c r="M25" s="59"/>
      <c r="N25" s="59"/>
      <c r="O25" s="59"/>
      <c r="P25" s="59"/>
      <c r="Q25" s="59"/>
      <c r="R25" s="59"/>
      <c r="S25" s="59"/>
    </row>
    <row r="26" spans="1:19" s="36" customFormat="1" ht="21" customHeight="1" x14ac:dyDescent="0.25">
      <c r="A26" s="262">
        <v>3</v>
      </c>
      <c r="B26" s="364" t="s">
        <v>82</v>
      </c>
      <c r="C26" s="364"/>
      <c r="D26" s="364"/>
      <c r="E26" s="364"/>
      <c r="F26" s="364"/>
      <c r="G26" s="261"/>
      <c r="H26" s="149">
        <v>0</v>
      </c>
      <c r="I26" s="261" t="s">
        <v>55</v>
      </c>
      <c r="J26" s="59"/>
      <c r="K26" s="142"/>
      <c r="L26" s="59"/>
      <c r="M26" s="59"/>
      <c r="N26" s="59"/>
      <c r="O26" s="59"/>
      <c r="P26" s="59"/>
      <c r="Q26" s="59"/>
      <c r="R26" s="59"/>
      <c r="S26" s="59"/>
    </row>
    <row r="27" spans="1:19" s="36" customFormat="1" ht="23.25" customHeight="1" x14ac:dyDescent="0.25">
      <c r="A27" s="262">
        <v>4</v>
      </c>
      <c r="B27" s="364" t="s">
        <v>65</v>
      </c>
      <c r="C27" s="364"/>
      <c r="D27" s="364"/>
      <c r="E27" s="364"/>
      <c r="F27" s="364"/>
      <c r="G27" s="364"/>
      <c r="H27" s="148">
        <v>0</v>
      </c>
      <c r="I27" s="261" t="s">
        <v>84</v>
      </c>
      <c r="J27" s="59"/>
      <c r="K27" s="59"/>
      <c r="L27" s="59"/>
      <c r="M27" s="59"/>
      <c r="N27" s="59"/>
      <c r="O27" s="59"/>
      <c r="P27" s="59"/>
      <c r="Q27" s="59"/>
      <c r="R27" s="59"/>
      <c r="S27" s="59"/>
    </row>
    <row r="28" spans="1:19" s="41" customFormat="1" x14ac:dyDescent="0.25">
      <c r="A28" s="262" t="s">
        <v>88</v>
      </c>
      <c r="B28" s="364" t="s">
        <v>87</v>
      </c>
      <c r="C28" s="364"/>
      <c r="D28" s="364"/>
      <c r="E28" s="364"/>
      <c r="F28" s="364"/>
      <c r="G28" s="364"/>
      <c r="H28" s="364"/>
      <c r="I28" s="364"/>
    </row>
    <row r="29" spans="1:19" s="40" customFormat="1" ht="20.25" customHeight="1" x14ac:dyDescent="0.25">
      <c r="A29" s="262" t="s">
        <v>4</v>
      </c>
      <c r="B29" s="360" t="s">
        <v>24</v>
      </c>
      <c r="C29" s="360"/>
      <c r="D29" s="360"/>
      <c r="E29" s="360"/>
      <c r="F29" s="360"/>
      <c r="G29" s="360"/>
      <c r="H29" s="360"/>
      <c r="I29" s="360"/>
      <c r="J29" s="41"/>
      <c r="K29" s="41"/>
      <c r="L29" s="41"/>
      <c r="M29" s="41"/>
      <c r="N29" s="41"/>
      <c r="O29" s="41"/>
      <c r="P29" s="41"/>
      <c r="Q29" s="41"/>
      <c r="R29" s="41"/>
      <c r="S29" s="41"/>
    </row>
    <row r="30" spans="1:19" s="24" customFormat="1" ht="32.25" customHeight="1" x14ac:dyDescent="0.25">
      <c r="A30" s="351" t="s">
        <v>25</v>
      </c>
      <c r="B30" s="353" t="s">
        <v>26</v>
      </c>
      <c r="C30" s="354"/>
      <c r="D30" s="354"/>
      <c r="E30" s="354"/>
      <c r="F30" s="354"/>
      <c r="G30" s="354"/>
      <c r="H30" s="354"/>
      <c r="I30" s="355"/>
    </row>
    <row r="31" spans="1:19" s="25" customFormat="1" ht="49.5" x14ac:dyDescent="0.25">
      <c r="A31" s="352"/>
      <c r="B31" s="353" t="s">
        <v>27</v>
      </c>
      <c r="C31" s="355"/>
      <c r="D31" s="21" t="s">
        <v>28</v>
      </c>
      <c r="E31" s="22" t="s">
        <v>29</v>
      </c>
      <c r="F31" s="22" t="s">
        <v>30</v>
      </c>
      <c r="G31" s="21" t="s">
        <v>31</v>
      </c>
      <c r="H31" s="22" t="s">
        <v>104</v>
      </c>
      <c r="I31" s="22" t="s">
        <v>33</v>
      </c>
    </row>
    <row r="32" spans="1:19" s="62" customFormat="1" ht="18.75" customHeight="1" x14ac:dyDescent="0.25">
      <c r="A32" s="61">
        <v>1</v>
      </c>
      <c r="B32" s="356">
        <v>2</v>
      </c>
      <c r="C32" s="357"/>
      <c r="D32" s="61">
        <v>3</v>
      </c>
      <c r="E32" s="61">
        <v>4</v>
      </c>
      <c r="F32" s="61">
        <v>5</v>
      </c>
      <c r="G32" s="61">
        <v>6</v>
      </c>
      <c r="H32" s="61">
        <v>7</v>
      </c>
      <c r="I32" s="61">
        <v>8</v>
      </c>
    </row>
    <row r="33" spans="1:9" s="68" customFormat="1" ht="39" customHeight="1" x14ac:dyDescent="0.25">
      <c r="A33" s="63">
        <v>1</v>
      </c>
      <c r="B33" s="358" t="s">
        <v>563</v>
      </c>
      <c r="C33" s="359"/>
      <c r="D33" s="64" t="s">
        <v>106</v>
      </c>
      <c r="E33" s="65">
        <f>C22</f>
        <v>38.299999999999997</v>
      </c>
      <c r="F33" s="63"/>
      <c r="G33" s="66"/>
      <c r="H33" s="166">
        <f>E33*F33*G33</f>
        <v>0</v>
      </c>
      <c r="I33" s="67"/>
    </row>
    <row r="34" spans="1:9" s="71" customFormat="1" ht="30.75" customHeight="1" x14ac:dyDescent="0.25">
      <c r="A34" s="69"/>
      <c r="B34" s="349" t="s">
        <v>34</v>
      </c>
      <c r="C34" s="350"/>
      <c r="D34" s="69"/>
      <c r="E34" s="69"/>
      <c r="F34" s="69"/>
      <c r="G34" s="69"/>
      <c r="H34" s="169">
        <f>SUM(H33:H33)</f>
        <v>0</v>
      </c>
      <c r="I34" s="69"/>
    </row>
    <row r="35" spans="1:9" ht="6" customHeight="1" x14ac:dyDescent="0.25">
      <c r="A35" s="77"/>
      <c r="B35" s="72"/>
      <c r="C35" s="72"/>
      <c r="D35" s="73"/>
      <c r="E35" s="73"/>
      <c r="F35" s="73"/>
      <c r="G35" s="73"/>
      <c r="H35" s="73"/>
      <c r="I35" s="73"/>
    </row>
    <row r="36" spans="1:9" ht="21" customHeight="1" x14ac:dyDescent="0.25">
      <c r="A36" s="75" t="s">
        <v>9</v>
      </c>
      <c r="B36" s="360" t="s">
        <v>35</v>
      </c>
      <c r="C36" s="360"/>
      <c r="D36" s="360"/>
      <c r="E36" s="360"/>
      <c r="F36" s="360"/>
      <c r="G36" s="360"/>
      <c r="H36" s="360"/>
      <c r="I36" s="360"/>
    </row>
    <row r="37" spans="1:9" s="254" customFormat="1" ht="49.5" x14ac:dyDescent="0.25">
      <c r="A37" s="29" t="s">
        <v>25</v>
      </c>
      <c r="B37" s="353" t="s">
        <v>27</v>
      </c>
      <c r="C37" s="355"/>
      <c r="D37" s="21" t="s">
        <v>28</v>
      </c>
      <c r="E37" s="22" t="s">
        <v>29</v>
      </c>
      <c r="F37" s="22" t="s">
        <v>30</v>
      </c>
      <c r="G37" s="21" t="s">
        <v>31</v>
      </c>
      <c r="H37" s="22" t="s">
        <v>32</v>
      </c>
      <c r="I37" s="22" t="s">
        <v>33</v>
      </c>
    </row>
    <row r="38" spans="1:9" s="62" customFormat="1" ht="18" customHeight="1" x14ac:dyDescent="0.25">
      <c r="A38" s="61">
        <v>1</v>
      </c>
      <c r="B38" s="356">
        <v>2</v>
      </c>
      <c r="C38" s="357"/>
      <c r="D38" s="61">
        <v>3</v>
      </c>
      <c r="E38" s="61">
        <v>4</v>
      </c>
      <c r="F38" s="61">
        <v>5</v>
      </c>
      <c r="G38" s="61">
        <v>6</v>
      </c>
      <c r="H38" s="61">
        <v>7</v>
      </c>
      <c r="I38" s="61">
        <v>8</v>
      </c>
    </row>
    <row r="39" spans="1:9" ht="37.5" customHeight="1" x14ac:dyDescent="0.25">
      <c r="A39" s="26">
        <v>1</v>
      </c>
      <c r="B39" s="353"/>
      <c r="C39" s="355"/>
      <c r="D39" s="27"/>
      <c r="E39" s="22"/>
      <c r="F39" s="27"/>
      <c r="G39" s="27"/>
      <c r="H39" s="27"/>
      <c r="I39" s="26" t="s">
        <v>36</v>
      </c>
    </row>
    <row r="40" spans="1:9" s="71" customFormat="1" ht="25.5" customHeight="1" x14ac:dyDescent="0.25">
      <c r="A40" s="69"/>
      <c r="B40" s="349" t="s">
        <v>34</v>
      </c>
      <c r="C40" s="350"/>
      <c r="D40" s="74"/>
      <c r="E40" s="69"/>
      <c r="F40" s="74"/>
      <c r="G40" s="74"/>
      <c r="H40" s="74"/>
      <c r="I40" s="69"/>
    </row>
    <row r="41" spans="1:9" x14ac:dyDescent="0.25">
      <c r="A41" s="124"/>
      <c r="B41" s="75"/>
      <c r="C41" s="75"/>
      <c r="D41" s="258"/>
      <c r="E41" s="75"/>
      <c r="F41" s="258"/>
      <c r="G41" s="258"/>
      <c r="H41" s="258"/>
      <c r="I41" s="75"/>
    </row>
    <row r="42" spans="1:9" x14ac:dyDescent="0.25">
      <c r="A42" s="324"/>
      <c r="B42" s="327" t="s">
        <v>37</v>
      </c>
      <c r="C42" s="328"/>
      <c r="D42" s="328"/>
      <c r="E42" s="328"/>
      <c r="F42" s="328"/>
      <c r="G42" s="329"/>
      <c r="H42" s="27"/>
      <c r="I42" s="26" t="s">
        <v>74</v>
      </c>
    </row>
    <row r="43" spans="1:9" x14ac:dyDescent="0.25">
      <c r="A43" s="325"/>
      <c r="B43" s="330" t="s">
        <v>38</v>
      </c>
      <c r="C43" s="331"/>
      <c r="D43" s="331"/>
      <c r="E43" s="331"/>
      <c r="F43" s="331"/>
      <c r="G43" s="332"/>
      <c r="H43" s="27"/>
      <c r="I43" s="26" t="s">
        <v>74</v>
      </c>
    </row>
    <row r="44" spans="1:9" x14ac:dyDescent="0.25">
      <c r="A44" s="326"/>
      <c r="B44" s="333" t="s">
        <v>39</v>
      </c>
      <c r="C44" s="334"/>
      <c r="D44" s="334"/>
      <c r="E44" s="334"/>
      <c r="F44" s="334"/>
      <c r="G44" s="335"/>
      <c r="H44" s="27"/>
      <c r="I44" s="26" t="s">
        <v>74</v>
      </c>
    </row>
    <row r="45" spans="1:9" ht="6.75" customHeight="1" x14ac:dyDescent="0.25">
      <c r="A45" s="77"/>
      <c r="B45" s="72"/>
      <c r="C45" s="72"/>
      <c r="D45" s="72"/>
      <c r="E45" s="78"/>
      <c r="F45" s="72"/>
      <c r="G45" s="72"/>
      <c r="H45" s="79"/>
      <c r="I45" s="79"/>
    </row>
    <row r="46" spans="1:9" ht="21" customHeight="1" x14ac:dyDescent="0.25">
      <c r="A46" s="125" t="s">
        <v>22</v>
      </c>
      <c r="B46" s="376" t="s">
        <v>40</v>
      </c>
      <c r="C46" s="376"/>
      <c r="D46" s="376"/>
      <c r="E46" s="376"/>
      <c r="F46" s="376"/>
      <c r="G46" s="376"/>
      <c r="H46" s="255"/>
      <c r="I46" s="81"/>
    </row>
    <row r="47" spans="1:9" s="30" customFormat="1" ht="49.5" x14ac:dyDescent="0.25">
      <c r="A47" s="21" t="s">
        <v>25</v>
      </c>
      <c r="B47" s="21" t="s">
        <v>41</v>
      </c>
      <c r="C47" s="21" t="s">
        <v>28</v>
      </c>
      <c r="D47" s="21" t="s">
        <v>42</v>
      </c>
      <c r="E47" s="21" t="s">
        <v>43</v>
      </c>
      <c r="F47" s="22" t="s">
        <v>30</v>
      </c>
      <c r="G47" s="21" t="s">
        <v>31</v>
      </c>
      <c r="H47" s="21" t="s">
        <v>45</v>
      </c>
      <c r="I47" s="21" t="s">
        <v>33</v>
      </c>
    </row>
    <row r="48" spans="1:9" s="83" customFormat="1" ht="18" customHeight="1" x14ac:dyDescent="0.25">
      <c r="A48" s="82">
        <v>1</v>
      </c>
      <c r="B48" s="82">
        <v>2</v>
      </c>
      <c r="C48" s="82">
        <v>3</v>
      </c>
      <c r="D48" s="82">
        <v>4</v>
      </c>
      <c r="E48" s="82">
        <v>5</v>
      </c>
      <c r="F48" s="82">
        <v>6</v>
      </c>
      <c r="G48" s="82">
        <v>7</v>
      </c>
      <c r="H48" s="82">
        <v>8</v>
      </c>
      <c r="I48" s="82">
        <v>9</v>
      </c>
    </row>
    <row r="49" spans="1:12" s="89" customFormat="1" ht="30" customHeight="1" x14ac:dyDescent="0.25">
      <c r="A49" s="21" t="s">
        <v>46</v>
      </c>
      <c r="B49" s="84" t="s">
        <v>47</v>
      </c>
      <c r="C49" s="85"/>
      <c r="D49" s="85"/>
      <c r="E49" s="86"/>
      <c r="F49" s="85"/>
      <c r="G49" s="85"/>
      <c r="H49" s="167">
        <f>SUM(H50:H52)</f>
        <v>0</v>
      </c>
      <c r="I49" s="88"/>
    </row>
    <row r="50" spans="1:12" s="89" customFormat="1" ht="70.150000000000006" customHeight="1" x14ac:dyDescent="0.25">
      <c r="A50" s="256">
        <v>1</v>
      </c>
      <c r="B50" s="91" t="s">
        <v>482</v>
      </c>
      <c r="C50" s="64" t="s">
        <v>106</v>
      </c>
      <c r="D50" s="96" t="s">
        <v>380</v>
      </c>
      <c r="E50" s="92">
        <f>C20</f>
        <v>130</v>
      </c>
      <c r="F50" s="93"/>
      <c r="G50" s="93"/>
      <c r="H50" s="159"/>
      <c r="I50" s="347" t="s">
        <v>110</v>
      </c>
    </row>
    <row r="51" spans="1:12" s="89" customFormat="1" ht="36" customHeight="1" x14ac:dyDescent="0.25">
      <c r="A51" s="256"/>
      <c r="B51" s="132" t="s">
        <v>109</v>
      </c>
      <c r="C51" s="64" t="s">
        <v>106</v>
      </c>
      <c r="D51" s="96" t="s">
        <v>357</v>
      </c>
      <c r="E51" s="92">
        <f>C22</f>
        <v>38.299999999999997</v>
      </c>
      <c r="F51" s="93"/>
      <c r="G51" s="93"/>
      <c r="H51" s="159"/>
      <c r="I51" s="348"/>
    </row>
    <row r="52" spans="1:12" s="89" customFormat="1" ht="36" customHeight="1" x14ac:dyDescent="0.25">
      <c r="A52" s="256"/>
      <c r="B52" s="132" t="s">
        <v>120</v>
      </c>
      <c r="C52" s="64" t="s">
        <v>106</v>
      </c>
      <c r="D52" s="96"/>
      <c r="E52" s="92">
        <f>E50-E51</f>
        <v>91.7</v>
      </c>
      <c r="F52" s="93"/>
      <c r="G52" s="93"/>
      <c r="H52" s="159"/>
      <c r="I52" s="348"/>
    </row>
    <row r="53" spans="1:12" s="89" customFormat="1" ht="25.5" customHeight="1" x14ac:dyDescent="0.25">
      <c r="A53" s="21" t="s">
        <v>48</v>
      </c>
      <c r="B53" s="84" t="s">
        <v>49</v>
      </c>
      <c r="C53" s="85"/>
      <c r="D53" s="85"/>
      <c r="E53" s="92"/>
      <c r="F53" s="85"/>
      <c r="G53" s="85"/>
      <c r="H53" s="167">
        <f>SUM(H54:H54)</f>
        <v>0</v>
      </c>
      <c r="I53" s="95"/>
    </row>
    <row r="54" spans="1:12" s="89" customFormat="1" ht="24" customHeight="1" x14ac:dyDescent="0.25">
      <c r="A54" s="256"/>
      <c r="B54" s="186"/>
      <c r="C54" s="200"/>
      <c r="D54" s="256"/>
      <c r="E54" s="92"/>
      <c r="F54" s="85"/>
      <c r="G54" s="85"/>
      <c r="H54" s="201"/>
      <c r="I54" s="264"/>
    </row>
    <row r="55" spans="1:12" s="102" customFormat="1" ht="31.5" customHeight="1" x14ac:dyDescent="0.25">
      <c r="A55" s="126"/>
      <c r="B55" s="100" t="s">
        <v>50</v>
      </c>
      <c r="C55" s="100"/>
      <c r="D55" s="100"/>
      <c r="E55" s="100"/>
      <c r="F55" s="100"/>
      <c r="G55" s="100"/>
      <c r="H55" s="158">
        <f>H49+H53</f>
        <v>0</v>
      </c>
      <c r="I55" s="101"/>
    </row>
    <row r="56" spans="1:12" ht="22.5" customHeight="1" x14ac:dyDescent="0.25">
      <c r="A56" s="127">
        <v>4</v>
      </c>
      <c r="B56" s="337" t="s">
        <v>51</v>
      </c>
      <c r="C56" s="337"/>
      <c r="D56" s="337"/>
      <c r="E56" s="337"/>
      <c r="F56" s="337"/>
      <c r="G56" s="337"/>
      <c r="H56" s="51"/>
      <c r="I56" s="51"/>
    </row>
    <row r="57" spans="1:12" s="104" customFormat="1" ht="49.5" x14ac:dyDescent="0.25">
      <c r="A57" s="103" t="s">
        <v>25</v>
      </c>
      <c r="B57" s="338" t="s">
        <v>52</v>
      </c>
      <c r="C57" s="339"/>
      <c r="D57" s="21" t="s">
        <v>29</v>
      </c>
      <c r="E57" s="21" t="s">
        <v>53</v>
      </c>
      <c r="F57" s="21" t="s">
        <v>44</v>
      </c>
      <c r="G57" s="21" t="s">
        <v>54</v>
      </c>
      <c r="H57" s="21" t="s">
        <v>45</v>
      </c>
      <c r="I57" s="21" t="s">
        <v>33</v>
      </c>
    </row>
    <row r="58" spans="1:12" ht="28.5" customHeight="1" x14ac:dyDescent="0.25">
      <c r="A58" s="105"/>
      <c r="B58" s="340"/>
      <c r="C58" s="341"/>
      <c r="D58" s="106"/>
      <c r="E58" s="105"/>
      <c r="F58" s="107"/>
      <c r="G58" s="108"/>
      <c r="H58" s="108"/>
      <c r="I58" s="109"/>
      <c r="L58" s="110"/>
    </row>
    <row r="59" spans="1:12" s="112" customFormat="1" ht="27.75" customHeight="1" x14ac:dyDescent="0.25">
      <c r="A59" s="126"/>
      <c r="B59" s="342" t="s">
        <v>34</v>
      </c>
      <c r="C59" s="343"/>
      <c r="D59" s="100"/>
      <c r="E59" s="100"/>
      <c r="F59" s="100"/>
      <c r="G59" s="100"/>
      <c r="H59" s="163">
        <f>SUM(H58)</f>
        <v>0</v>
      </c>
      <c r="I59" s="111"/>
      <c r="L59" s="113"/>
    </row>
    <row r="60" spans="1:12" s="115" customFormat="1" ht="27.75" customHeight="1" x14ac:dyDescent="0.25">
      <c r="A60" s="128">
        <v>5</v>
      </c>
      <c r="B60" s="344" t="s">
        <v>56</v>
      </c>
      <c r="C60" s="344"/>
      <c r="D60" s="344"/>
      <c r="E60" s="344"/>
      <c r="F60" s="344"/>
      <c r="G60" s="345"/>
      <c r="H60" s="164">
        <f>H59+H55+H40+H34</f>
        <v>0</v>
      </c>
      <c r="I60" s="114" t="s">
        <v>57</v>
      </c>
    </row>
    <row r="61" spans="1:12" s="117" customFormat="1" ht="17.25" x14ac:dyDescent="0.25">
      <c r="A61" s="129"/>
      <c r="B61" s="116" t="s">
        <v>78</v>
      </c>
      <c r="C61" s="346" t="s">
        <v>91</v>
      </c>
      <c r="D61" s="346"/>
      <c r="E61" s="346"/>
      <c r="F61" s="346"/>
      <c r="G61" s="346"/>
      <c r="H61" s="346"/>
      <c r="I61" s="346"/>
    </row>
    <row r="62" spans="1:12" s="41" customFormat="1" ht="17.25" hidden="1" x14ac:dyDescent="0.3">
      <c r="A62" s="262"/>
      <c r="B62" s="118"/>
      <c r="E62" s="119"/>
      <c r="F62" s="316" t="s">
        <v>75</v>
      </c>
      <c r="G62" s="316"/>
      <c r="H62" s="316"/>
      <c r="I62" s="316"/>
    </row>
    <row r="63" spans="1:12" hidden="1" x14ac:dyDescent="0.25">
      <c r="F63" s="316" t="s">
        <v>76</v>
      </c>
      <c r="G63" s="316"/>
      <c r="H63" s="316"/>
      <c r="I63" s="316"/>
    </row>
    <row r="64" spans="1:12" hidden="1" x14ac:dyDescent="0.25">
      <c r="F64" s="317"/>
      <c r="G64" s="317"/>
      <c r="H64" s="317"/>
      <c r="I64" s="317"/>
    </row>
    <row r="65" spans="1:9" hidden="1" x14ac:dyDescent="0.25"/>
    <row r="66" spans="1:9" hidden="1" x14ac:dyDescent="0.25"/>
    <row r="67" spans="1:9" hidden="1" x14ac:dyDescent="0.25"/>
    <row r="68" spans="1:9" hidden="1" x14ac:dyDescent="0.25"/>
    <row r="69" spans="1:9" hidden="1" x14ac:dyDescent="0.25"/>
    <row r="70" spans="1:9" hidden="1" x14ac:dyDescent="0.25">
      <c r="F70" s="318" t="s">
        <v>77</v>
      </c>
      <c r="G70" s="318"/>
      <c r="H70" s="318"/>
      <c r="I70" s="318"/>
    </row>
    <row r="71" spans="1:9" ht="65.25" customHeight="1" x14ac:dyDescent="0.25">
      <c r="A71" s="319" t="s">
        <v>100</v>
      </c>
      <c r="B71" s="319"/>
      <c r="C71" s="319"/>
      <c r="D71" s="319"/>
      <c r="E71" s="319"/>
      <c r="F71" s="319"/>
      <c r="G71" s="319"/>
      <c r="H71" s="319"/>
      <c r="I71" s="319"/>
    </row>
    <row r="72" spans="1:9" x14ac:dyDescent="0.25">
      <c r="A72" s="315" t="s">
        <v>102</v>
      </c>
      <c r="B72" s="315"/>
      <c r="C72" s="315"/>
      <c r="D72" s="315"/>
      <c r="E72" s="315"/>
      <c r="F72" s="315"/>
      <c r="G72" s="315"/>
      <c r="H72" s="315"/>
      <c r="I72" s="315"/>
    </row>
    <row r="73" spans="1:9" x14ac:dyDescent="0.25">
      <c r="A73" s="320" t="s">
        <v>107</v>
      </c>
      <c r="B73" s="320"/>
      <c r="C73" s="320"/>
      <c r="D73" s="321"/>
      <c r="E73" s="322" t="s">
        <v>108</v>
      </c>
      <c r="F73" s="323"/>
      <c r="G73" s="323"/>
      <c r="H73" s="323"/>
      <c r="I73" s="323"/>
    </row>
    <row r="74" spans="1:9" x14ac:dyDescent="0.25">
      <c r="A74" s="320"/>
      <c r="B74" s="320"/>
      <c r="C74" s="320"/>
      <c r="D74" s="321"/>
      <c r="E74" s="322"/>
      <c r="F74" s="323"/>
      <c r="G74" s="323"/>
      <c r="H74" s="323"/>
      <c r="I74" s="323"/>
    </row>
    <row r="75" spans="1:9" x14ac:dyDescent="0.25">
      <c r="A75" s="320"/>
      <c r="B75" s="320"/>
      <c r="C75" s="320"/>
      <c r="D75" s="321"/>
      <c r="E75" s="38"/>
      <c r="I75" s="20"/>
    </row>
    <row r="76" spans="1:9" x14ac:dyDescent="0.25">
      <c r="A76" s="315" t="s">
        <v>101</v>
      </c>
      <c r="B76" s="315"/>
      <c r="C76" s="315"/>
      <c r="D76" s="315"/>
      <c r="E76" s="315"/>
      <c r="F76" s="315"/>
      <c r="G76" s="315"/>
      <c r="H76" s="315"/>
      <c r="I76" s="315"/>
    </row>
  </sheetData>
  <mergeCells count="57">
    <mergeCell ref="A1:D1"/>
    <mergeCell ref="E1:I1"/>
    <mergeCell ref="A2:D2"/>
    <mergeCell ref="E2:I2"/>
    <mergeCell ref="A4:C4"/>
    <mergeCell ref="E4:I4"/>
    <mergeCell ref="A5:I5"/>
    <mergeCell ref="A6:I6"/>
    <mergeCell ref="A7:I7"/>
    <mergeCell ref="B8:I8"/>
    <mergeCell ref="B9:E9"/>
    <mergeCell ref="F9:I9"/>
    <mergeCell ref="B28:I28"/>
    <mergeCell ref="C10:I10"/>
    <mergeCell ref="C11:I11"/>
    <mergeCell ref="F13:I13"/>
    <mergeCell ref="C14:I14"/>
    <mergeCell ref="C15:I15"/>
    <mergeCell ref="B17:I17"/>
    <mergeCell ref="D19:E19"/>
    <mergeCell ref="C24:I24"/>
    <mergeCell ref="C25:I25"/>
    <mergeCell ref="B26:F26"/>
    <mergeCell ref="B27:G27"/>
    <mergeCell ref="B40:C40"/>
    <mergeCell ref="B29:I29"/>
    <mergeCell ref="A30:A31"/>
    <mergeCell ref="B30:I30"/>
    <mergeCell ref="B31:C31"/>
    <mergeCell ref="B32:C32"/>
    <mergeCell ref="B33:C33"/>
    <mergeCell ref="B34:C34"/>
    <mergeCell ref="B36:I36"/>
    <mergeCell ref="B37:C37"/>
    <mergeCell ref="B38:C38"/>
    <mergeCell ref="B39:C39"/>
    <mergeCell ref="C61:I61"/>
    <mergeCell ref="A42:A44"/>
    <mergeCell ref="B42:G42"/>
    <mergeCell ref="B43:G43"/>
    <mergeCell ref="B44:G44"/>
    <mergeCell ref="B46:G46"/>
    <mergeCell ref="I50:I52"/>
    <mergeCell ref="B56:G56"/>
    <mergeCell ref="B57:C57"/>
    <mergeCell ref="B58:C58"/>
    <mergeCell ref="B59:C59"/>
    <mergeCell ref="B60:G60"/>
    <mergeCell ref="A73:D75"/>
    <mergeCell ref="E73:I74"/>
    <mergeCell ref="A76:I76"/>
    <mergeCell ref="F62:I62"/>
    <mergeCell ref="F63:I63"/>
    <mergeCell ref="F64:I64"/>
    <mergeCell ref="F70:I70"/>
    <mergeCell ref="A71:I71"/>
    <mergeCell ref="A72:I72"/>
  </mergeCells>
  <printOptions horizontalCentered="1"/>
  <pageMargins left="0.15748031496062992" right="0.15748031496062992" top="0.19685039370078741" bottom="0.15748031496062992" header="0.19685039370078741" footer="0.15748031496062992"/>
  <pageSetup paperSize="9" scale="80" orientation="portrait" r:id="rId1"/>
  <drawing r:id="rId2"/>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80"/>
  <sheetViews>
    <sheetView topLeftCell="A22" workbookViewId="0">
      <selection activeCell="B27" sqref="B27:G27"/>
    </sheetView>
  </sheetViews>
  <sheetFormatPr defaultColWidth="9.140625" defaultRowHeight="16.5" x14ac:dyDescent="0.25"/>
  <cols>
    <col min="1" max="1" width="4.28515625" style="68" customWidth="1"/>
    <col min="2" max="2" width="27.28515625" style="20" customWidth="1"/>
    <col min="3" max="3" width="8.7109375" style="20" customWidth="1"/>
    <col min="4" max="4" width="21.140625" style="20" customWidth="1"/>
    <col min="5" max="5" width="9.7109375" style="254" customWidth="1"/>
    <col min="6" max="6" width="12.28515625" style="20" customWidth="1"/>
    <col min="7" max="7" width="9.42578125" style="20" customWidth="1"/>
    <col min="8" max="8" width="15" style="20" customWidth="1"/>
    <col min="9" max="9" width="16" style="120" customWidth="1"/>
    <col min="10" max="11" width="9.140625" style="20"/>
    <col min="12" max="12" width="11.42578125" style="20" customWidth="1"/>
    <col min="13" max="16384" width="9.140625" style="20"/>
  </cols>
  <sheetData>
    <row r="1" spans="1:17" s="36" customFormat="1" x14ac:dyDescent="0.25">
      <c r="A1" s="368" t="s">
        <v>98</v>
      </c>
      <c r="B1" s="368"/>
      <c r="C1" s="368"/>
      <c r="D1" s="368"/>
      <c r="E1" s="368" t="s">
        <v>0</v>
      </c>
      <c r="F1" s="368"/>
      <c r="G1" s="368"/>
      <c r="H1" s="368"/>
      <c r="I1" s="368"/>
    </row>
    <row r="2" spans="1:17" s="36" customFormat="1" x14ac:dyDescent="0.25">
      <c r="A2" s="369" t="s">
        <v>99</v>
      </c>
      <c r="B2" s="369"/>
      <c r="C2" s="369"/>
      <c r="D2" s="369"/>
      <c r="E2" s="369" t="s">
        <v>1</v>
      </c>
      <c r="F2" s="368"/>
      <c r="G2" s="368"/>
      <c r="H2" s="368"/>
      <c r="I2" s="368"/>
    </row>
    <row r="3" spans="1:17" s="36" customFormat="1" ht="20.25" customHeight="1" x14ac:dyDescent="0.25">
      <c r="A3" s="262"/>
      <c r="C3" s="262"/>
      <c r="D3" s="262"/>
      <c r="E3" s="262"/>
      <c r="F3" s="262"/>
      <c r="G3" s="262"/>
      <c r="H3" s="262"/>
      <c r="I3" s="37"/>
    </row>
    <row r="4" spans="1:17" s="36" customFormat="1" ht="23.25" customHeight="1" x14ac:dyDescent="0.25">
      <c r="A4" s="369" t="s">
        <v>89</v>
      </c>
      <c r="B4" s="369"/>
      <c r="C4" s="369"/>
      <c r="E4" s="370" t="s">
        <v>185</v>
      </c>
      <c r="F4" s="370"/>
      <c r="G4" s="370"/>
      <c r="H4" s="370"/>
      <c r="I4" s="370"/>
    </row>
    <row r="5" spans="1:17" s="40" customFormat="1" ht="18.75" customHeight="1" x14ac:dyDescent="0.25">
      <c r="A5" s="371" t="s">
        <v>85</v>
      </c>
      <c r="B5" s="371"/>
      <c r="C5" s="371"/>
      <c r="D5" s="371"/>
      <c r="E5" s="371"/>
      <c r="F5" s="371"/>
      <c r="G5" s="371"/>
      <c r="H5" s="371"/>
      <c r="I5" s="371"/>
    </row>
    <row r="6" spans="1:17" s="40" customFormat="1" ht="39.75" customHeight="1" x14ac:dyDescent="0.25">
      <c r="A6" s="372" t="s">
        <v>86</v>
      </c>
      <c r="B6" s="372"/>
      <c r="C6" s="372"/>
      <c r="D6" s="372"/>
      <c r="E6" s="372"/>
      <c r="F6" s="372"/>
      <c r="G6" s="372"/>
      <c r="H6" s="372"/>
      <c r="I6" s="372"/>
      <c r="Q6" s="41"/>
    </row>
    <row r="7" spans="1:17" s="40" customFormat="1" ht="21" customHeight="1" x14ac:dyDescent="0.25">
      <c r="A7" s="373" t="s">
        <v>207</v>
      </c>
      <c r="B7" s="373"/>
      <c r="C7" s="373"/>
      <c r="D7" s="373"/>
      <c r="E7" s="373"/>
      <c r="F7" s="373"/>
      <c r="G7" s="373"/>
      <c r="H7" s="373"/>
      <c r="I7" s="373"/>
    </row>
    <row r="8" spans="1:17" s="259" customFormat="1" ht="19.899999999999999" customHeight="1" x14ac:dyDescent="0.25">
      <c r="A8" s="263" t="s">
        <v>2</v>
      </c>
      <c r="B8" s="362" t="s">
        <v>3</v>
      </c>
      <c r="C8" s="362"/>
      <c r="D8" s="362"/>
      <c r="E8" s="362"/>
      <c r="F8" s="362"/>
      <c r="G8" s="362"/>
      <c r="H8" s="362"/>
      <c r="I8" s="362"/>
    </row>
    <row r="9" spans="1:17" s="259" customFormat="1" ht="19.899999999999999" customHeight="1" x14ac:dyDescent="0.25">
      <c r="A9" s="263" t="s">
        <v>4</v>
      </c>
      <c r="B9" s="374" t="s">
        <v>5</v>
      </c>
      <c r="C9" s="374"/>
      <c r="D9" s="374"/>
      <c r="E9" s="374"/>
      <c r="F9" s="365" t="s">
        <v>483</v>
      </c>
      <c r="G9" s="365"/>
      <c r="H9" s="365"/>
      <c r="I9" s="365"/>
    </row>
    <row r="10" spans="1:17" s="259" customFormat="1" ht="19.899999999999999" customHeight="1" x14ac:dyDescent="0.25">
      <c r="A10" s="122"/>
      <c r="B10" s="24" t="s">
        <v>6</v>
      </c>
      <c r="C10" s="365" t="s">
        <v>251</v>
      </c>
      <c r="D10" s="365"/>
      <c r="E10" s="365"/>
      <c r="F10" s="365"/>
      <c r="G10" s="365"/>
      <c r="H10" s="365"/>
      <c r="I10" s="365"/>
    </row>
    <row r="11" spans="1:17" s="259" customFormat="1" ht="19.899999999999999" customHeight="1" x14ac:dyDescent="0.25">
      <c r="A11" s="122"/>
      <c r="B11" s="24" t="s">
        <v>7</v>
      </c>
      <c r="C11" s="365" t="s">
        <v>251</v>
      </c>
      <c r="D11" s="365"/>
      <c r="E11" s="365"/>
      <c r="F11" s="365"/>
      <c r="G11" s="365"/>
      <c r="H11" s="365"/>
      <c r="I11" s="365"/>
    </row>
    <row r="12" spans="1:17" s="259" customFormat="1" ht="19.899999999999999" customHeight="1" x14ac:dyDescent="0.25">
      <c r="A12" s="122"/>
      <c r="B12" s="24" t="s">
        <v>11</v>
      </c>
      <c r="C12" s="233" t="s">
        <v>484</v>
      </c>
      <c r="D12" s="233"/>
      <c r="E12" s="233"/>
      <c r="F12" s="43"/>
      <c r="G12" s="43"/>
      <c r="H12" s="43"/>
      <c r="I12" s="43"/>
    </row>
    <row r="13" spans="1:17" s="259" customFormat="1" ht="19.899999999999999" customHeight="1" x14ac:dyDescent="0.25">
      <c r="A13" s="263" t="s">
        <v>9</v>
      </c>
      <c r="B13" s="44" t="s">
        <v>10</v>
      </c>
      <c r="E13" s="43"/>
      <c r="F13" s="362" t="str">
        <f>F9</f>
        <v>Nguyễn Ngọc Dũng - Nguyễn Thị Lan</v>
      </c>
      <c r="G13" s="362"/>
      <c r="H13" s="362"/>
      <c r="I13" s="362"/>
      <c r="J13" s="143"/>
    </row>
    <row r="14" spans="1:17" s="259" customFormat="1" ht="19.899999999999999" customHeight="1" x14ac:dyDescent="0.25">
      <c r="A14" s="122"/>
      <c r="B14" s="24" t="s">
        <v>6</v>
      </c>
      <c r="C14" s="365" t="str">
        <f>+C10</f>
        <v>Thôn Phố Gốt - Xã Phú Nghĩa - TP Hà Nội</v>
      </c>
      <c r="D14" s="365"/>
      <c r="E14" s="365"/>
      <c r="F14" s="365"/>
      <c r="G14" s="365"/>
      <c r="H14" s="365"/>
      <c r="I14" s="365"/>
    </row>
    <row r="15" spans="1:17" s="259" customFormat="1" ht="19.899999999999999" customHeight="1" x14ac:dyDescent="0.25">
      <c r="A15" s="122"/>
      <c r="B15" s="24" t="s">
        <v>7</v>
      </c>
      <c r="C15" s="365" t="str">
        <f>C11</f>
        <v>Thôn Phố Gốt - Xã Phú Nghĩa - TP Hà Nội</v>
      </c>
      <c r="D15" s="365"/>
      <c r="E15" s="365"/>
      <c r="F15" s="365"/>
      <c r="G15" s="365"/>
      <c r="H15" s="365"/>
      <c r="I15" s="365"/>
    </row>
    <row r="16" spans="1:17" s="259" customFormat="1" ht="19.899999999999999" customHeight="1" x14ac:dyDescent="0.25">
      <c r="A16" s="122"/>
      <c r="B16" s="24" t="s">
        <v>11</v>
      </c>
      <c r="C16" s="233" t="str">
        <f>+C12</f>
        <v>001063024954</v>
      </c>
      <c r="D16" s="233"/>
      <c r="E16" s="233"/>
      <c r="F16" s="43"/>
      <c r="G16" s="43"/>
      <c r="H16" s="43"/>
      <c r="I16" s="43"/>
    </row>
    <row r="17" spans="1:19" s="259" customFormat="1" ht="19.899999999999999" customHeight="1" x14ac:dyDescent="0.25">
      <c r="A17" s="263" t="s">
        <v>12</v>
      </c>
      <c r="B17" s="362" t="s">
        <v>13</v>
      </c>
      <c r="C17" s="362"/>
      <c r="D17" s="362"/>
      <c r="E17" s="362"/>
      <c r="F17" s="362"/>
      <c r="G17" s="362"/>
      <c r="H17" s="362"/>
      <c r="I17" s="362"/>
    </row>
    <row r="18" spans="1:19" s="259" customFormat="1" ht="19.899999999999999" customHeight="1" x14ac:dyDescent="0.25">
      <c r="A18" s="263" t="s">
        <v>4</v>
      </c>
      <c r="B18" s="46" t="s">
        <v>14</v>
      </c>
      <c r="E18" s="43"/>
    </row>
    <row r="19" spans="1:19" s="51" customFormat="1" ht="19.899999999999999" customHeight="1" x14ac:dyDescent="0.25">
      <c r="A19" s="123"/>
      <c r="B19" s="47" t="s">
        <v>15</v>
      </c>
      <c r="C19" s="48">
        <v>53</v>
      </c>
      <c r="D19" s="363" t="s">
        <v>16</v>
      </c>
      <c r="E19" s="363"/>
      <c r="F19" s="49" t="s">
        <v>113</v>
      </c>
      <c r="G19" s="50"/>
      <c r="I19" s="50"/>
    </row>
    <row r="20" spans="1:19" s="51" customFormat="1" ht="19.899999999999999" customHeight="1" x14ac:dyDescent="0.25">
      <c r="A20" s="123"/>
      <c r="B20" s="47" t="s">
        <v>17</v>
      </c>
      <c r="C20" s="52">
        <v>117.3</v>
      </c>
      <c r="D20" s="50" t="s">
        <v>105</v>
      </c>
      <c r="E20" s="53"/>
      <c r="F20" s="54"/>
      <c r="H20" s="55"/>
      <c r="I20" s="50"/>
    </row>
    <row r="21" spans="1:19" s="51" customFormat="1" ht="19.899999999999999" customHeight="1" x14ac:dyDescent="0.25">
      <c r="A21" s="123"/>
      <c r="B21" s="56" t="s">
        <v>18</v>
      </c>
      <c r="C21" s="57"/>
      <c r="D21" s="50"/>
      <c r="E21" s="53"/>
      <c r="F21" s="50"/>
      <c r="H21" s="55"/>
      <c r="I21" s="50"/>
    </row>
    <row r="22" spans="1:19" s="51" customFormat="1" ht="19.899999999999999" customHeight="1" x14ac:dyDescent="0.25">
      <c r="A22" s="123"/>
      <c r="B22" s="47" t="s">
        <v>19</v>
      </c>
      <c r="C22" s="52">
        <v>34.700000000000003</v>
      </c>
      <c r="D22" s="50" t="s">
        <v>105</v>
      </c>
      <c r="E22" s="53"/>
      <c r="F22" s="50"/>
      <c r="H22" s="55"/>
      <c r="I22" s="50"/>
      <c r="J22" s="133"/>
    </row>
    <row r="23" spans="1:19" s="51" customFormat="1" ht="19.899999999999999" customHeight="1" x14ac:dyDescent="0.25">
      <c r="A23" s="123"/>
      <c r="B23" s="47" t="s">
        <v>20</v>
      </c>
      <c r="C23" s="57">
        <f>C20-C22</f>
        <v>82.6</v>
      </c>
      <c r="D23" s="50" t="s">
        <v>105</v>
      </c>
      <c r="E23" s="53"/>
      <c r="F23" s="50"/>
      <c r="H23" s="55"/>
      <c r="I23" s="50"/>
      <c r="J23" s="142"/>
    </row>
    <row r="24" spans="1:19" s="259" customFormat="1" ht="22.5" customHeight="1" x14ac:dyDescent="0.25">
      <c r="A24" s="122"/>
      <c r="B24" s="24" t="s">
        <v>21</v>
      </c>
      <c r="C24" s="362" t="s">
        <v>251</v>
      </c>
      <c r="D24" s="362"/>
      <c r="E24" s="362"/>
      <c r="F24" s="362"/>
      <c r="G24" s="362"/>
      <c r="H24" s="362"/>
      <c r="I24" s="362"/>
    </row>
    <row r="25" spans="1:19" s="36" customFormat="1" ht="175.9" customHeight="1" x14ac:dyDescent="0.25">
      <c r="A25" s="262">
        <v>2</v>
      </c>
      <c r="B25" s="260" t="s">
        <v>73</v>
      </c>
      <c r="C25" s="366" t="s">
        <v>591</v>
      </c>
      <c r="D25" s="367"/>
      <c r="E25" s="367"/>
      <c r="F25" s="367"/>
      <c r="G25" s="367"/>
      <c r="H25" s="367"/>
      <c r="I25" s="367"/>
      <c r="J25" s="133"/>
      <c r="K25" s="133"/>
      <c r="L25" s="59"/>
      <c r="M25" s="59"/>
      <c r="N25" s="59"/>
      <c r="O25" s="59"/>
      <c r="P25" s="59"/>
      <c r="Q25" s="59"/>
      <c r="R25" s="59"/>
      <c r="S25" s="59"/>
    </row>
    <row r="26" spans="1:19" s="36" customFormat="1" ht="21" customHeight="1" x14ac:dyDescent="0.25">
      <c r="A26" s="262">
        <v>3</v>
      </c>
      <c r="B26" s="364" t="s">
        <v>82</v>
      </c>
      <c r="C26" s="364"/>
      <c r="D26" s="364"/>
      <c r="E26" s="364"/>
      <c r="F26" s="364"/>
      <c r="G26" s="261"/>
      <c r="H26" s="149">
        <v>0</v>
      </c>
      <c r="I26" s="261" t="s">
        <v>55</v>
      </c>
      <c r="J26" s="59"/>
      <c r="K26" s="142"/>
      <c r="L26" s="59"/>
      <c r="M26" s="59"/>
      <c r="N26" s="59"/>
      <c r="O26" s="59"/>
      <c r="P26" s="59"/>
      <c r="Q26" s="59"/>
      <c r="R26" s="59"/>
      <c r="S26" s="59"/>
    </row>
    <row r="27" spans="1:19" s="36" customFormat="1" ht="23.25" customHeight="1" x14ac:dyDescent="0.25">
      <c r="A27" s="262">
        <v>4</v>
      </c>
      <c r="B27" s="364" t="s">
        <v>65</v>
      </c>
      <c r="C27" s="364"/>
      <c r="D27" s="364"/>
      <c r="E27" s="364"/>
      <c r="F27" s="364"/>
      <c r="G27" s="364"/>
      <c r="H27" s="148">
        <v>0</v>
      </c>
      <c r="I27" s="261" t="s">
        <v>84</v>
      </c>
      <c r="J27" s="59"/>
      <c r="K27" s="59"/>
      <c r="L27" s="59"/>
      <c r="M27" s="59"/>
      <c r="N27" s="59"/>
      <c r="O27" s="59"/>
      <c r="P27" s="59"/>
      <c r="Q27" s="59"/>
      <c r="R27" s="59"/>
      <c r="S27" s="59"/>
    </row>
    <row r="28" spans="1:19" s="41" customFormat="1" x14ac:dyDescent="0.25">
      <c r="A28" s="262" t="s">
        <v>88</v>
      </c>
      <c r="B28" s="364" t="s">
        <v>87</v>
      </c>
      <c r="C28" s="364"/>
      <c r="D28" s="364"/>
      <c r="E28" s="364"/>
      <c r="F28" s="364"/>
      <c r="G28" s="364"/>
      <c r="H28" s="364"/>
      <c r="I28" s="364"/>
    </row>
    <row r="29" spans="1:19" s="40" customFormat="1" ht="20.25" customHeight="1" x14ac:dyDescent="0.25">
      <c r="A29" s="262" t="s">
        <v>4</v>
      </c>
      <c r="B29" s="360" t="s">
        <v>24</v>
      </c>
      <c r="C29" s="360"/>
      <c r="D29" s="360"/>
      <c r="E29" s="360"/>
      <c r="F29" s="360"/>
      <c r="G29" s="360"/>
      <c r="H29" s="360"/>
      <c r="I29" s="360"/>
      <c r="J29" s="41"/>
      <c r="K29" s="41"/>
      <c r="L29" s="41"/>
      <c r="M29" s="41"/>
      <c r="N29" s="41"/>
      <c r="O29" s="41"/>
      <c r="P29" s="41"/>
      <c r="Q29" s="41"/>
      <c r="R29" s="41"/>
      <c r="S29" s="41"/>
    </row>
    <row r="30" spans="1:19" s="24" customFormat="1" ht="32.25" customHeight="1" x14ac:dyDescent="0.25">
      <c r="A30" s="351" t="s">
        <v>25</v>
      </c>
      <c r="B30" s="353" t="s">
        <v>26</v>
      </c>
      <c r="C30" s="354"/>
      <c r="D30" s="354"/>
      <c r="E30" s="354"/>
      <c r="F30" s="354"/>
      <c r="G30" s="354"/>
      <c r="H30" s="354"/>
      <c r="I30" s="355"/>
    </row>
    <row r="31" spans="1:19" s="25" customFormat="1" ht="49.5" x14ac:dyDescent="0.25">
      <c r="A31" s="352"/>
      <c r="B31" s="353" t="s">
        <v>27</v>
      </c>
      <c r="C31" s="355"/>
      <c r="D31" s="21" t="s">
        <v>28</v>
      </c>
      <c r="E31" s="22" t="s">
        <v>29</v>
      </c>
      <c r="F31" s="22" t="s">
        <v>30</v>
      </c>
      <c r="G31" s="21" t="s">
        <v>31</v>
      </c>
      <c r="H31" s="22" t="s">
        <v>104</v>
      </c>
      <c r="I31" s="22" t="s">
        <v>33</v>
      </c>
    </row>
    <row r="32" spans="1:19" s="62" customFormat="1" ht="18.75" customHeight="1" x14ac:dyDescent="0.25">
      <c r="A32" s="61">
        <v>1</v>
      </c>
      <c r="B32" s="356">
        <v>2</v>
      </c>
      <c r="C32" s="357"/>
      <c r="D32" s="61">
        <v>3</v>
      </c>
      <c r="E32" s="61">
        <v>4</v>
      </c>
      <c r="F32" s="61">
        <v>5</v>
      </c>
      <c r="G32" s="61">
        <v>6</v>
      </c>
      <c r="H32" s="61">
        <v>7</v>
      </c>
      <c r="I32" s="61">
        <v>8</v>
      </c>
    </row>
    <row r="33" spans="1:9" s="68" customFormat="1" ht="39" customHeight="1" x14ac:dyDescent="0.25">
      <c r="A33" s="63">
        <v>1</v>
      </c>
      <c r="B33" s="358" t="s">
        <v>563</v>
      </c>
      <c r="C33" s="359"/>
      <c r="D33" s="64" t="s">
        <v>106</v>
      </c>
      <c r="E33" s="65">
        <f>C22</f>
        <v>34.700000000000003</v>
      </c>
      <c r="F33" s="63"/>
      <c r="G33" s="66"/>
      <c r="H33" s="166">
        <f>E33*F33*G33</f>
        <v>0</v>
      </c>
      <c r="I33" s="67"/>
    </row>
    <row r="34" spans="1:9" s="71" customFormat="1" ht="30.75" customHeight="1" x14ac:dyDescent="0.25">
      <c r="A34" s="69"/>
      <c r="B34" s="349" t="s">
        <v>34</v>
      </c>
      <c r="C34" s="350"/>
      <c r="D34" s="69"/>
      <c r="E34" s="69"/>
      <c r="F34" s="69"/>
      <c r="G34" s="69"/>
      <c r="H34" s="169">
        <f>SUM(H33:H33)</f>
        <v>0</v>
      </c>
      <c r="I34" s="69"/>
    </row>
    <row r="35" spans="1:9" ht="9" customHeight="1" x14ac:dyDescent="0.25">
      <c r="A35" s="77"/>
      <c r="B35" s="72"/>
      <c r="C35" s="72"/>
      <c r="D35" s="73"/>
      <c r="E35" s="73"/>
      <c r="F35" s="73"/>
      <c r="G35" s="73"/>
      <c r="H35" s="73"/>
      <c r="I35" s="73"/>
    </row>
    <row r="36" spans="1:9" ht="21" customHeight="1" x14ac:dyDescent="0.25">
      <c r="A36" s="75" t="s">
        <v>9</v>
      </c>
      <c r="B36" s="360" t="s">
        <v>35</v>
      </c>
      <c r="C36" s="360"/>
      <c r="D36" s="360"/>
      <c r="E36" s="360"/>
      <c r="F36" s="360"/>
      <c r="G36" s="360"/>
      <c r="H36" s="360"/>
      <c r="I36" s="360"/>
    </row>
    <row r="37" spans="1:9" s="254" customFormat="1" ht="49.5" x14ac:dyDescent="0.25">
      <c r="A37" s="29" t="s">
        <v>25</v>
      </c>
      <c r="B37" s="353" t="s">
        <v>27</v>
      </c>
      <c r="C37" s="355"/>
      <c r="D37" s="21" t="s">
        <v>28</v>
      </c>
      <c r="E37" s="22" t="s">
        <v>29</v>
      </c>
      <c r="F37" s="22" t="s">
        <v>30</v>
      </c>
      <c r="G37" s="21" t="s">
        <v>31</v>
      </c>
      <c r="H37" s="22" t="s">
        <v>32</v>
      </c>
      <c r="I37" s="22" t="s">
        <v>33</v>
      </c>
    </row>
    <row r="38" spans="1:9" s="62" customFormat="1" ht="18" customHeight="1" x14ac:dyDescent="0.25">
      <c r="A38" s="61">
        <v>1</v>
      </c>
      <c r="B38" s="356">
        <v>2</v>
      </c>
      <c r="C38" s="357"/>
      <c r="D38" s="61">
        <v>3</v>
      </c>
      <c r="E38" s="61">
        <v>4</v>
      </c>
      <c r="F38" s="61">
        <v>5</v>
      </c>
      <c r="G38" s="61">
        <v>6</v>
      </c>
      <c r="H38" s="61">
        <v>7</v>
      </c>
      <c r="I38" s="61">
        <v>8</v>
      </c>
    </row>
    <row r="39" spans="1:9" ht="37.5" customHeight="1" x14ac:dyDescent="0.25">
      <c r="A39" s="26">
        <v>1</v>
      </c>
      <c r="B39" s="353"/>
      <c r="C39" s="355"/>
      <c r="D39" s="27"/>
      <c r="E39" s="22"/>
      <c r="F39" s="27"/>
      <c r="G39" s="27"/>
      <c r="H39" s="27"/>
      <c r="I39" s="26" t="s">
        <v>36</v>
      </c>
    </row>
    <row r="40" spans="1:9" s="71" customFormat="1" ht="25.5" customHeight="1" x14ac:dyDescent="0.25">
      <c r="A40" s="69"/>
      <c r="B40" s="349" t="s">
        <v>34</v>
      </c>
      <c r="C40" s="350"/>
      <c r="D40" s="74"/>
      <c r="E40" s="69"/>
      <c r="F40" s="74"/>
      <c r="G40" s="74"/>
      <c r="H40" s="74"/>
      <c r="I40" s="69"/>
    </row>
    <row r="41" spans="1:9" x14ac:dyDescent="0.25">
      <c r="A41" s="124"/>
      <c r="B41" s="75"/>
      <c r="C41" s="75"/>
      <c r="D41" s="258"/>
      <c r="E41" s="75"/>
      <c r="F41" s="258"/>
      <c r="G41" s="258"/>
      <c r="H41" s="258"/>
      <c r="I41" s="75"/>
    </row>
    <row r="42" spans="1:9" x14ac:dyDescent="0.25">
      <c r="A42" s="324"/>
      <c r="B42" s="327" t="s">
        <v>37</v>
      </c>
      <c r="C42" s="328"/>
      <c r="D42" s="328"/>
      <c r="E42" s="328"/>
      <c r="F42" s="328"/>
      <c r="G42" s="329"/>
      <c r="H42" s="27"/>
      <c r="I42" s="26" t="s">
        <v>74</v>
      </c>
    </row>
    <row r="43" spans="1:9" x14ac:dyDescent="0.25">
      <c r="A43" s="325"/>
      <c r="B43" s="330" t="s">
        <v>38</v>
      </c>
      <c r="C43" s="331"/>
      <c r="D43" s="331"/>
      <c r="E43" s="331"/>
      <c r="F43" s="331"/>
      <c r="G43" s="332"/>
      <c r="H43" s="27"/>
      <c r="I43" s="26" t="s">
        <v>74</v>
      </c>
    </row>
    <row r="44" spans="1:9" x14ac:dyDescent="0.25">
      <c r="A44" s="326"/>
      <c r="B44" s="333" t="s">
        <v>39</v>
      </c>
      <c r="C44" s="334"/>
      <c r="D44" s="334"/>
      <c r="E44" s="334"/>
      <c r="F44" s="334"/>
      <c r="G44" s="335"/>
      <c r="H44" s="27"/>
      <c r="I44" s="26" t="s">
        <v>74</v>
      </c>
    </row>
    <row r="45" spans="1:9" ht="6.75" customHeight="1" x14ac:dyDescent="0.25">
      <c r="A45" s="77"/>
      <c r="B45" s="72"/>
      <c r="C45" s="72"/>
      <c r="D45" s="72"/>
      <c r="E45" s="78"/>
      <c r="F45" s="72"/>
      <c r="G45" s="72"/>
      <c r="H45" s="79"/>
      <c r="I45" s="79"/>
    </row>
    <row r="46" spans="1:9" ht="21" customHeight="1" x14ac:dyDescent="0.25">
      <c r="A46" s="125" t="s">
        <v>22</v>
      </c>
      <c r="B46" s="376" t="s">
        <v>40</v>
      </c>
      <c r="C46" s="376"/>
      <c r="D46" s="376"/>
      <c r="E46" s="376"/>
      <c r="F46" s="376"/>
      <c r="G46" s="376"/>
      <c r="H46" s="255"/>
      <c r="I46" s="81"/>
    </row>
    <row r="47" spans="1:9" s="30" customFormat="1" ht="49.5" x14ac:dyDescent="0.25">
      <c r="A47" s="21" t="s">
        <v>25</v>
      </c>
      <c r="B47" s="21" t="s">
        <v>41</v>
      </c>
      <c r="C47" s="21" t="s">
        <v>28</v>
      </c>
      <c r="D47" s="21" t="s">
        <v>42</v>
      </c>
      <c r="E47" s="21" t="s">
        <v>43</v>
      </c>
      <c r="F47" s="22" t="s">
        <v>30</v>
      </c>
      <c r="G47" s="21" t="s">
        <v>31</v>
      </c>
      <c r="H47" s="21" t="s">
        <v>45</v>
      </c>
      <c r="I47" s="21" t="s">
        <v>33</v>
      </c>
    </row>
    <row r="48" spans="1:9" s="83" customFormat="1" ht="18" customHeight="1" x14ac:dyDescent="0.25">
      <c r="A48" s="82">
        <v>1</v>
      </c>
      <c r="B48" s="82">
        <v>2</v>
      </c>
      <c r="C48" s="82">
        <v>3</v>
      </c>
      <c r="D48" s="82">
        <v>4</v>
      </c>
      <c r="E48" s="82">
        <v>5</v>
      </c>
      <c r="F48" s="82">
        <v>6</v>
      </c>
      <c r="G48" s="82">
        <v>7</v>
      </c>
      <c r="H48" s="82">
        <v>8</v>
      </c>
      <c r="I48" s="82">
        <v>9</v>
      </c>
    </row>
    <row r="49" spans="1:12" s="89" customFormat="1" ht="30" customHeight="1" x14ac:dyDescent="0.25">
      <c r="A49" s="21" t="s">
        <v>46</v>
      </c>
      <c r="B49" s="84" t="s">
        <v>47</v>
      </c>
      <c r="C49" s="85"/>
      <c r="D49" s="85"/>
      <c r="E49" s="86"/>
      <c r="F49" s="85"/>
      <c r="G49" s="85"/>
      <c r="H49" s="167">
        <f>SUM(H52:H56)</f>
        <v>0</v>
      </c>
      <c r="I49" s="88"/>
    </row>
    <row r="50" spans="1:12" s="89" customFormat="1" ht="30" customHeight="1" x14ac:dyDescent="0.25">
      <c r="A50" s="256">
        <v>1</v>
      </c>
      <c r="B50" s="186" t="s">
        <v>90</v>
      </c>
      <c r="C50" s="64" t="s">
        <v>106</v>
      </c>
      <c r="D50" s="96" t="s">
        <v>485</v>
      </c>
      <c r="E50" s="96">
        <f>4.63*10</f>
        <v>46.3</v>
      </c>
      <c r="F50" s="200"/>
      <c r="G50" s="200"/>
      <c r="H50" s="201"/>
      <c r="I50" s="91"/>
    </row>
    <row r="51" spans="1:12" s="89" customFormat="1" ht="30" customHeight="1" x14ac:dyDescent="0.25">
      <c r="A51" s="256">
        <v>2</v>
      </c>
      <c r="B51" s="186" t="s">
        <v>151</v>
      </c>
      <c r="C51" s="64" t="s">
        <v>106</v>
      </c>
      <c r="D51" s="96" t="s">
        <v>486</v>
      </c>
      <c r="E51" s="96">
        <f>4.63*2</f>
        <v>9.26</v>
      </c>
      <c r="F51" s="200"/>
      <c r="G51" s="200"/>
      <c r="H51" s="201"/>
      <c r="I51" s="91"/>
    </row>
    <row r="52" spans="1:12" s="89" customFormat="1" ht="70.150000000000006" customHeight="1" x14ac:dyDescent="0.25">
      <c r="A52" s="256">
        <v>3</v>
      </c>
      <c r="B52" s="91" t="s">
        <v>487</v>
      </c>
      <c r="C52" s="64" t="s">
        <v>106</v>
      </c>
      <c r="D52" s="96" t="s">
        <v>488</v>
      </c>
      <c r="E52" s="92">
        <f>17.44*4.63</f>
        <v>80.747200000000007</v>
      </c>
      <c r="F52" s="93"/>
      <c r="G52" s="93"/>
      <c r="H52" s="159"/>
      <c r="I52" s="347" t="s">
        <v>110</v>
      </c>
    </row>
    <row r="53" spans="1:12" s="89" customFormat="1" ht="36" customHeight="1" x14ac:dyDescent="0.25">
      <c r="A53" s="256"/>
      <c r="B53" s="132" t="s">
        <v>109</v>
      </c>
      <c r="C53" s="64" t="s">
        <v>106</v>
      </c>
      <c r="D53" s="96" t="s">
        <v>357</v>
      </c>
      <c r="E53" s="92">
        <f>C22</f>
        <v>34.700000000000003</v>
      </c>
      <c r="F53" s="93"/>
      <c r="G53" s="93"/>
      <c r="H53" s="159"/>
      <c r="I53" s="348"/>
    </row>
    <row r="54" spans="1:12" s="89" customFormat="1" ht="36" customHeight="1" x14ac:dyDescent="0.25">
      <c r="A54" s="256"/>
      <c r="B54" s="132" t="s">
        <v>120</v>
      </c>
      <c r="C54" s="64" t="s">
        <v>106</v>
      </c>
      <c r="D54" s="96"/>
      <c r="E54" s="92">
        <f>E52-E53</f>
        <v>46.047200000000004</v>
      </c>
      <c r="F54" s="93"/>
      <c r="G54" s="93"/>
      <c r="H54" s="159"/>
      <c r="I54" s="348"/>
    </row>
    <row r="55" spans="1:12" s="89" customFormat="1" ht="36" customHeight="1" x14ac:dyDescent="0.25">
      <c r="A55" s="256" t="s">
        <v>131</v>
      </c>
      <c r="B55" s="132" t="s">
        <v>489</v>
      </c>
      <c r="C55" s="64" t="s">
        <v>106</v>
      </c>
      <c r="D55" s="96" t="s">
        <v>147</v>
      </c>
      <c r="E55" s="92">
        <f>E53</f>
        <v>34.700000000000003</v>
      </c>
      <c r="F55" s="93"/>
      <c r="G55" s="93"/>
      <c r="H55" s="159"/>
      <c r="I55" s="257"/>
    </row>
    <row r="56" spans="1:12" s="89" customFormat="1" ht="36" customHeight="1" x14ac:dyDescent="0.25">
      <c r="A56" s="256">
        <v>4</v>
      </c>
      <c r="B56" s="132" t="s">
        <v>95</v>
      </c>
      <c r="C56" s="64" t="s">
        <v>490</v>
      </c>
      <c r="D56" s="96" t="s">
        <v>491</v>
      </c>
      <c r="E56" s="92">
        <v>11</v>
      </c>
      <c r="F56" s="93"/>
      <c r="G56" s="93"/>
      <c r="H56" s="159"/>
      <c r="I56" s="257"/>
    </row>
    <row r="57" spans="1:12" s="89" customFormat="1" ht="25.5" customHeight="1" x14ac:dyDescent="0.25">
      <c r="A57" s="21" t="s">
        <v>48</v>
      </c>
      <c r="B57" s="84" t="s">
        <v>49</v>
      </c>
      <c r="C57" s="85"/>
      <c r="D57" s="85"/>
      <c r="E57" s="92"/>
      <c r="F57" s="85"/>
      <c r="G57" s="85"/>
      <c r="H57" s="167">
        <f>SUM(H58:H58)</f>
        <v>0</v>
      </c>
      <c r="I57" s="95"/>
    </row>
    <row r="58" spans="1:12" s="89" customFormat="1" ht="24" customHeight="1" x14ac:dyDescent="0.25">
      <c r="A58" s="256"/>
      <c r="B58" s="186"/>
      <c r="C58" s="200"/>
      <c r="D58" s="256"/>
      <c r="E58" s="92"/>
      <c r="F58" s="85"/>
      <c r="G58" s="85"/>
      <c r="H58" s="201"/>
      <c r="I58" s="264"/>
    </row>
    <row r="59" spans="1:12" s="102" customFormat="1" ht="31.5" customHeight="1" x14ac:dyDescent="0.25">
      <c r="A59" s="126"/>
      <c r="B59" s="100" t="s">
        <v>50</v>
      </c>
      <c r="C59" s="100"/>
      <c r="D59" s="100"/>
      <c r="E59" s="100"/>
      <c r="F59" s="100"/>
      <c r="G59" s="100"/>
      <c r="H59" s="158">
        <f>H49+H57</f>
        <v>0</v>
      </c>
      <c r="I59" s="101"/>
    </row>
    <row r="60" spans="1:12" ht="22.5" customHeight="1" x14ac:dyDescent="0.25">
      <c r="A60" s="127">
        <v>4</v>
      </c>
      <c r="B60" s="337" t="s">
        <v>51</v>
      </c>
      <c r="C60" s="337"/>
      <c r="D60" s="337"/>
      <c r="E60" s="337"/>
      <c r="F60" s="337"/>
      <c r="G60" s="337"/>
      <c r="H60" s="51"/>
      <c r="I60" s="51"/>
    </row>
    <row r="61" spans="1:12" s="104" customFormat="1" ht="49.5" x14ac:dyDescent="0.25">
      <c r="A61" s="103" t="s">
        <v>25</v>
      </c>
      <c r="B61" s="338" t="s">
        <v>52</v>
      </c>
      <c r="C61" s="339"/>
      <c r="D61" s="21" t="s">
        <v>29</v>
      </c>
      <c r="E61" s="21" t="s">
        <v>53</v>
      </c>
      <c r="F61" s="21" t="s">
        <v>44</v>
      </c>
      <c r="G61" s="21" t="s">
        <v>54</v>
      </c>
      <c r="H61" s="21" t="s">
        <v>45</v>
      </c>
      <c r="I61" s="21" t="s">
        <v>33</v>
      </c>
    </row>
    <row r="62" spans="1:12" ht="28.5" customHeight="1" x14ac:dyDescent="0.25">
      <c r="A62" s="105"/>
      <c r="B62" s="340"/>
      <c r="C62" s="341"/>
      <c r="D62" s="106"/>
      <c r="E62" s="105"/>
      <c r="F62" s="107"/>
      <c r="G62" s="108"/>
      <c r="H62" s="108"/>
      <c r="I62" s="109"/>
      <c r="L62" s="110"/>
    </row>
    <row r="63" spans="1:12" s="112" customFormat="1" ht="27.75" customHeight="1" x14ac:dyDescent="0.25">
      <c r="A63" s="126"/>
      <c r="B63" s="342" t="s">
        <v>34</v>
      </c>
      <c r="C63" s="343"/>
      <c r="D63" s="100"/>
      <c r="E63" s="100"/>
      <c r="F63" s="100"/>
      <c r="G63" s="100"/>
      <c r="H63" s="163">
        <f>SUM(H62)</f>
        <v>0</v>
      </c>
      <c r="I63" s="111"/>
      <c r="L63" s="113"/>
    </row>
    <row r="64" spans="1:12" s="115" customFormat="1" ht="27.75" customHeight="1" x14ac:dyDescent="0.25">
      <c r="A64" s="128">
        <v>5</v>
      </c>
      <c r="B64" s="344" t="s">
        <v>56</v>
      </c>
      <c r="C64" s="344"/>
      <c r="D64" s="344"/>
      <c r="E64" s="344"/>
      <c r="F64" s="344"/>
      <c r="G64" s="345"/>
      <c r="H64" s="164">
        <f>H63+H59+H40+H34</f>
        <v>0</v>
      </c>
      <c r="I64" s="114" t="s">
        <v>57</v>
      </c>
    </row>
    <row r="65" spans="1:9" s="117" customFormat="1" ht="17.25" x14ac:dyDescent="0.25">
      <c r="A65" s="129"/>
      <c r="B65" s="116" t="s">
        <v>78</v>
      </c>
      <c r="C65" s="346" t="s">
        <v>91</v>
      </c>
      <c r="D65" s="346"/>
      <c r="E65" s="346"/>
      <c r="F65" s="346"/>
      <c r="G65" s="346"/>
      <c r="H65" s="346"/>
      <c r="I65" s="346"/>
    </row>
    <row r="66" spans="1:9" s="41" customFormat="1" ht="17.25" hidden="1" x14ac:dyDescent="0.3">
      <c r="A66" s="262"/>
      <c r="B66" s="118"/>
      <c r="E66" s="119"/>
      <c r="F66" s="316" t="s">
        <v>75</v>
      </c>
      <c r="G66" s="316"/>
      <c r="H66" s="316"/>
      <c r="I66" s="316"/>
    </row>
    <row r="67" spans="1:9" hidden="1" x14ac:dyDescent="0.25">
      <c r="F67" s="316" t="s">
        <v>76</v>
      </c>
      <c r="G67" s="316"/>
      <c r="H67" s="316"/>
      <c r="I67" s="316"/>
    </row>
    <row r="68" spans="1:9" hidden="1" x14ac:dyDescent="0.25">
      <c r="F68" s="317"/>
      <c r="G68" s="317"/>
      <c r="H68" s="317"/>
      <c r="I68" s="317"/>
    </row>
    <row r="69" spans="1:9" hidden="1" x14ac:dyDescent="0.25"/>
    <row r="70" spans="1:9" hidden="1" x14ac:dyDescent="0.25"/>
    <row r="71" spans="1:9" hidden="1" x14ac:dyDescent="0.25"/>
    <row r="72" spans="1:9" hidden="1" x14ac:dyDescent="0.25"/>
    <row r="73" spans="1:9" hidden="1" x14ac:dyDescent="0.25"/>
    <row r="74" spans="1:9" hidden="1" x14ac:dyDescent="0.25">
      <c r="F74" s="318" t="s">
        <v>77</v>
      </c>
      <c r="G74" s="318"/>
      <c r="H74" s="318"/>
      <c r="I74" s="318"/>
    </row>
    <row r="75" spans="1:9" ht="65.25" customHeight="1" x14ac:dyDescent="0.25">
      <c r="A75" s="319" t="s">
        <v>100</v>
      </c>
      <c r="B75" s="319"/>
      <c r="C75" s="319"/>
      <c r="D75" s="319"/>
      <c r="E75" s="319"/>
      <c r="F75" s="319"/>
      <c r="G75" s="319"/>
      <c r="H75" s="319"/>
      <c r="I75" s="319"/>
    </row>
    <row r="76" spans="1:9" x14ac:dyDescent="0.25">
      <c r="A76" s="315" t="s">
        <v>102</v>
      </c>
      <c r="B76" s="315"/>
      <c r="C76" s="315"/>
      <c r="D76" s="315"/>
      <c r="E76" s="315"/>
      <c r="F76" s="315"/>
      <c r="G76" s="315"/>
      <c r="H76" s="315"/>
      <c r="I76" s="315"/>
    </row>
    <row r="77" spans="1:9" x14ac:dyDescent="0.25">
      <c r="A77" s="320" t="s">
        <v>107</v>
      </c>
      <c r="B77" s="320"/>
      <c r="C77" s="320"/>
      <c r="D77" s="321"/>
      <c r="E77" s="322" t="s">
        <v>108</v>
      </c>
      <c r="F77" s="323"/>
      <c r="G77" s="323"/>
      <c r="H77" s="323"/>
      <c r="I77" s="323"/>
    </row>
    <row r="78" spans="1:9" x14ac:dyDescent="0.25">
      <c r="A78" s="320"/>
      <c r="B78" s="320"/>
      <c r="C78" s="320"/>
      <c r="D78" s="321"/>
      <c r="E78" s="322"/>
      <c r="F78" s="323"/>
      <c r="G78" s="323"/>
      <c r="H78" s="323"/>
      <c r="I78" s="323"/>
    </row>
    <row r="79" spans="1:9" x14ac:dyDescent="0.25">
      <c r="A79" s="320"/>
      <c r="B79" s="320"/>
      <c r="C79" s="320"/>
      <c r="D79" s="321"/>
      <c r="E79" s="38"/>
      <c r="I79" s="20"/>
    </row>
    <row r="80" spans="1:9" x14ac:dyDescent="0.25">
      <c r="A80" s="315" t="s">
        <v>101</v>
      </c>
      <c r="B80" s="315"/>
      <c r="C80" s="315"/>
      <c r="D80" s="315"/>
      <c r="E80" s="315"/>
      <c r="F80" s="315"/>
      <c r="G80" s="315"/>
      <c r="H80" s="315"/>
      <c r="I80" s="315"/>
    </row>
  </sheetData>
  <mergeCells count="57">
    <mergeCell ref="A1:D1"/>
    <mergeCell ref="E1:I1"/>
    <mergeCell ref="A2:D2"/>
    <mergeCell ref="E2:I2"/>
    <mergeCell ref="A4:C4"/>
    <mergeCell ref="E4:I4"/>
    <mergeCell ref="A5:I5"/>
    <mergeCell ref="A6:I6"/>
    <mergeCell ref="A7:I7"/>
    <mergeCell ref="B8:I8"/>
    <mergeCell ref="B9:E9"/>
    <mergeCell ref="F9:I9"/>
    <mergeCell ref="B28:I28"/>
    <mergeCell ref="C10:I10"/>
    <mergeCell ref="C11:I11"/>
    <mergeCell ref="F13:I13"/>
    <mergeCell ref="C14:I14"/>
    <mergeCell ref="C15:I15"/>
    <mergeCell ref="B17:I17"/>
    <mergeCell ref="D19:E19"/>
    <mergeCell ref="C24:I24"/>
    <mergeCell ref="C25:I25"/>
    <mergeCell ref="B26:F26"/>
    <mergeCell ref="B27:G27"/>
    <mergeCell ref="B40:C40"/>
    <mergeCell ref="B29:I29"/>
    <mergeCell ref="A30:A31"/>
    <mergeCell ref="B30:I30"/>
    <mergeCell ref="B31:C31"/>
    <mergeCell ref="B32:C32"/>
    <mergeCell ref="B33:C33"/>
    <mergeCell ref="B34:C34"/>
    <mergeCell ref="B36:I36"/>
    <mergeCell ref="B37:C37"/>
    <mergeCell ref="B38:C38"/>
    <mergeCell ref="B39:C39"/>
    <mergeCell ref="C65:I65"/>
    <mergeCell ref="A42:A44"/>
    <mergeCell ref="B42:G42"/>
    <mergeCell ref="B43:G43"/>
    <mergeCell ref="B44:G44"/>
    <mergeCell ref="B46:G46"/>
    <mergeCell ref="I52:I54"/>
    <mergeCell ref="B60:G60"/>
    <mergeCell ref="B61:C61"/>
    <mergeCell ref="B62:C62"/>
    <mergeCell ref="B63:C63"/>
    <mergeCell ref="B64:G64"/>
    <mergeCell ref="A77:D79"/>
    <mergeCell ref="E77:I78"/>
    <mergeCell ref="A80:I80"/>
    <mergeCell ref="F66:I66"/>
    <mergeCell ref="F67:I67"/>
    <mergeCell ref="F68:I68"/>
    <mergeCell ref="F74:I74"/>
    <mergeCell ref="A75:I75"/>
    <mergeCell ref="A76:I76"/>
  </mergeCells>
  <printOptions horizontalCentered="1"/>
  <pageMargins left="0.15748031496062992" right="0.15748031496062992" top="0.19685039370078741" bottom="0.15748031496062992" header="0.19685039370078741" footer="0.15748031496062992"/>
  <pageSetup paperSize="9" scale="80" orientation="portrait" r:id="rId1"/>
  <drawing r:id="rId2"/>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81"/>
  <sheetViews>
    <sheetView topLeftCell="A28" workbookViewId="0">
      <selection activeCell="B33" sqref="B33:C33"/>
    </sheetView>
  </sheetViews>
  <sheetFormatPr defaultColWidth="9.140625" defaultRowHeight="16.5" x14ac:dyDescent="0.25"/>
  <cols>
    <col min="1" max="1" width="4.28515625" style="68" customWidth="1"/>
    <col min="2" max="2" width="27.28515625" style="20" customWidth="1"/>
    <col min="3" max="3" width="9.5703125" style="20" customWidth="1"/>
    <col min="4" max="4" width="18" style="20" customWidth="1"/>
    <col min="5" max="5" width="10.28515625" style="288" customWidth="1"/>
    <col min="6" max="6" width="12.28515625" style="20" customWidth="1"/>
    <col min="7" max="7" width="9.42578125" style="20" customWidth="1"/>
    <col min="8" max="8" width="13.7109375" style="20" customWidth="1"/>
    <col min="9" max="9" width="14.28515625" style="120" customWidth="1"/>
    <col min="10" max="11" width="9.140625" style="20"/>
    <col min="12" max="12" width="11.42578125" style="20" customWidth="1"/>
    <col min="13" max="16384" width="9.140625" style="20"/>
  </cols>
  <sheetData>
    <row r="1" spans="1:17" s="36" customFormat="1" x14ac:dyDescent="0.25">
      <c r="A1" s="368" t="s">
        <v>98</v>
      </c>
      <c r="B1" s="368"/>
      <c r="C1" s="368"/>
      <c r="D1" s="368"/>
      <c r="E1" s="368" t="s">
        <v>0</v>
      </c>
      <c r="F1" s="368"/>
      <c r="G1" s="368"/>
      <c r="H1" s="368"/>
      <c r="I1" s="368"/>
    </row>
    <row r="2" spans="1:17" s="36" customFormat="1" x14ac:dyDescent="0.25">
      <c r="A2" s="369" t="s">
        <v>99</v>
      </c>
      <c r="B2" s="369"/>
      <c r="C2" s="369"/>
      <c r="D2" s="369"/>
      <c r="E2" s="369" t="s">
        <v>1</v>
      </c>
      <c r="F2" s="368"/>
      <c r="G2" s="368"/>
      <c r="H2" s="368"/>
      <c r="I2" s="368"/>
    </row>
    <row r="3" spans="1:17" s="36" customFormat="1" ht="20.25" customHeight="1" x14ac:dyDescent="0.25">
      <c r="A3" s="281"/>
      <c r="C3" s="281"/>
      <c r="D3" s="281"/>
      <c r="E3" s="281"/>
      <c r="F3" s="281"/>
      <c r="G3" s="281"/>
      <c r="H3" s="281"/>
      <c r="I3" s="37"/>
    </row>
    <row r="4" spans="1:17" s="36" customFormat="1" ht="23.25" customHeight="1" x14ac:dyDescent="0.25">
      <c r="A4" s="369" t="s">
        <v>89</v>
      </c>
      <c r="B4" s="369"/>
      <c r="C4" s="369"/>
      <c r="E4" s="370" t="s">
        <v>185</v>
      </c>
      <c r="F4" s="370"/>
      <c r="G4" s="370"/>
      <c r="H4" s="370"/>
      <c r="I4" s="370"/>
    </row>
    <row r="5" spans="1:17" s="40" customFormat="1" ht="18.75" customHeight="1" x14ac:dyDescent="0.25">
      <c r="A5" s="371" t="s">
        <v>85</v>
      </c>
      <c r="B5" s="371"/>
      <c r="C5" s="371"/>
      <c r="D5" s="371"/>
      <c r="E5" s="371"/>
      <c r="F5" s="371"/>
      <c r="G5" s="371"/>
      <c r="H5" s="371"/>
      <c r="I5" s="371"/>
    </row>
    <row r="6" spans="1:17" s="40" customFormat="1" ht="39.75" customHeight="1" x14ac:dyDescent="0.25">
      <c r="A6" s="372" t="s">
        <v>86</v>
      </c>
      <c r="B6" s="372"/>
      <c r="C6" s="372"/>
      <c r="D6" s="372"/>
      <c r="E6" s="372"/>
      <c r="F6" s="372"/>
      <c r="G6" s="372"/>
      <c r="H6" s="372"/>
      <c r="I6" s="372"/>
      <c r="Q6" s="41"/>
    </row>
    <row r="7" spans="1:17" s="40" customFormat="1" ht="29.45" customHeight="1" x14ac:dyDescent="0.25">
      <c r="A7" s="373" t="s">
        <v>207</v>
      </c>
      <c r="B7" s="373"/>
      <c r="C7" s="373"/>
      <c r="D7" s="373"/>
      <c r="E7" s="373"/>
      <c r="F7" s="373"/>
      <c r="G7" s="373"/>
      <c r="H7" s="373"/>
      <c r="I7" s="373"/>
    </row>
    <row r="8" spans="1:17" s="280" customFormat="1" ht="19.899999999999999" customHeight="1" x14ac:dyDescent="0.25">
      <c r="A8" s="279" t="s">
        <v>2</v>
      </c>
      <c r="B8" s="362" t="s">
        <v>3</v>
      </c>
      <c r="C8" s="362"/>
      <c r="D8" s="362"/>
      <c r="E8" s="362"/>
      <c r="F8" s="362"/>
      <c r="G8" s="362"/>
      <c r="H8" s="362"/>
      <c r="I8" s="362"/>
    </row>
    <row r="9" spans="1:17" s="280" customFormat="1" ht="39" customHeight="1" x14ac:dyDescent="0.25">
      <c r="A9" s="295" t="s">
        <v>4</v>
      </c>
      <c r="B9" s="385" t="s">
        <v>5</v>
      </c>
      <c r="C9" s="385"/>
      <c r="D9" s="385"/>
      <c r="E9" s="385"/>
      <c r="F9" s="386" t="s">
        <v>560</v>
      </c>
      <c r="G9" s="386"/>
      <c r="H9" s="386"/>
      <c r="I9" s="386"/>
    </row>
    <row r="10" spans="1:17" s="280" customFormat="1" ht="19.899999999999999" customHeight="1" x14ac:dyDescent="0.25">
      <c r="A10" s="122"/>
      <c r="B10" s="24" t="s">
        <v>6</v>
      </c>
      <c r="C10" s="365" t="s">
        <v>505</v>
      </c>
      <c r="D10" s="365"/>
      <c r="E10" s="365"/>
      <c r="F10" s="365"/>
      <c r="G10" s="365"/>
      <c r="H10" s="365"/>
      <c r="I10" s="365"/>
    </row>
    <row r="11" spans="1:17" s="280" customFormat="1" ht="19.899999999999999" customHeight="1" x14ac:dyDescent="0.25">
      <c r="A11" s="122"/>
      <c r="B11" s="24" t="s">
        <v>7</v>
      </c>
      <c r="C11" s="365" t="s">
        <v>505</v>
      </c>
      <c r="D11" s="365"/>
      <c r="E11" s="365"/>
      <c r="F11" s="365"/>
      <c r="G11" s="365"/>
      <c r="H11" s="365"/>
      <c r="I11" s="365"/>
    </row>
    <row r="12" spans="1:17" s="280" customFormat="1" ht="19.899999999999999" customHeight="1" x14ac:dyDescent="0.25">
      <c r="A12" s="122"/>
      <c r="B12" s="24" t="s">
        <v>11</v>
      </c>
      <c r="C12" s="233" t="s">
        <v>492</v>
      </c>
      <c r="D12" s="233"/>
      <c r="E12" s="233"/>
      <c r="F12" s="43"/>
      <c r="G12" s="43"/>
      <c r="H12" s="43"/>
      <c r="I12" s="43"/>
    </row>
    <row r="13" spans="1:17" s="296" customFormat="1" ht="39" customHeight="1" x14ac:dyDescent="0.25">
      <c r="A13" s="295" t="s">
        <v>9</v>
      </c>
      <c r="B13" s="385" t="s">
        <v>10</v>
      </c>
      <c r="C13" s="385"/>
      <c r="D13" s="385"/>
      <c r="E13" s="385"/>
      <c r="F13" s="386" t="str">
        <f>F9</f>
        <v>ĐSH: Đỗ Thị Ninh - Đỗ Huy Bình - Đô Huy Biên (Đại diện cho Ông Đỗ Huy Thành đã chết)</v>
      </c>
      <c r="G13" s="386"/>
      <c r="H13" s="386"/>
      <c r="I13" s="386"/>
    </row>
    <row r="14" spans="1:17" s="280" customFormat="1" ht="19.899999999999999" customHeight="1" x14ac:dyDescent="0.25">
      <c r="A14" s="122"/>
      <c r="B14" s="24" t="s">
        <v>6</v>
      </c>
      <c r="C14" s="365" t="str">
        <f>+C10</f>
        <v>Thôn Đông Cựu Đồi - Xã Phú Nghĩa - TP Hà Nội</v>
      </c>
      <c r="D14" s="365"/>
      <c r="E14" s="365"/>
      <c r="F14" s="365"/>
      <c r="G14" s="365"/>
      <c r="H14" s="365"/>
      <c r="I14" s="365"/>
    </row>
    <row r="15" spans="1:17" s="280" customFormat="1" ht="19.899999999999999" customHeight="1" x14ac:dyDescent="0.25">
      <c r="A15" s="122"/>
      <c r="B15" s="24" t="s">
        <v>7</v>
      </c>
      <c r="C15" s="365" t="str">
        <f>C11</f>
        <v>Thôn Đông Cựu Đồi - Xã Phú Nghĩa - TP Hà Nội</v>
      </c>
      <c r="D15" s="365"/>
      <c r="E15" s="365"/>
      <c r="F15" s="365"/>
      <c r="G15" s="365"/>
      <c r="H15" s="365"/>
      <c r="I15" s="365"/>
    </row>
    <row r="16" spans="1:17" s="280" customFormat="1" ht="19.899999999999999" customHeight="1" x14ac:dyDescent="0.25">
      <c r="A16" s="122"/>
      <c r="B16" s="24" t="s">
        <v>11</v>
      </c>
      <c r="C16" s="233" t="str">
        <f>+C12</f>
        <v>00118502051(Ninh); 001089034143 (Bình); 001094024392 (Biên)</v>
      </c>
      <c r="D16" s="233"/>
      <c r="E16" s="233"/>
      <c r="F16" s="43"/>
      <c r="G16" s="43"/>
      <c r="H16" s="43"/>
      <c r="I16" s="43"/>
    </row>
    <row r="17" spans="1:19" s="280" customFormat="1" ht="19.899999999999999" customHeight="1" x14ac:dyDescent="0.25">
      <c r="A17" s="279" t="s">
        <v>12</v>
      </c>
      <c r="B17" s="362" t="s">
        <v>13</v>
      </c>
      <c r="C17" s="362"/>
      <c r="D17" s="362"/>
      <c r="E17" s="362"/>
      <c r="F17" s="362"/>
      <c r="G17" s="362"/>
      <c r="H17" s="362"/>
      <c r="I17" s="362"/>
    </row>
    <row r="18" spans="1:19" s="280" customFormat="1" ht="19.899999999999999" customHeight="1" x14ac:dyDescent="0.25">
      <c r="A18" s="279" t="s">
        <v>4</v>
      </c>
      <c r="B18" s="46" t="s">
        <v>14</v>
      </c>
      <c r="E18" s="43"/>
    </row>
    <row r="19" spans="1:19" s="51" customFormat="1" ht="19.899999999999999" customHeight="1" x14ac:dyDescent="0.25">
      <c r="A19" s="123"/>
      <c r="B19" s="47" t="s">
        <v>15</v>
      </c>
      <c r="C19" s="144" t="s">
        <v>493</v>
      </c>
      <c r="D19" s="363" t="s">
        <v>16</v>
      </c>
      <c r="E19" s="363"/>
      <c r="F19" s="49" t="s">
        <v>119</v>
      </c>
      <c r="G19" s="50"/>
      <c r="I19" s="50"/>
    </row>
    <row r="20" spans="1:19" s="51" customFormat="1" ht="19.899999999999999" customHeight="1" x14ac:dyDescent="0.25">
      <c r="A20" s="123"/>
      <c r="B20" s="47" t="s">
        <v>17</v>
      </c>
      <c r="C20" s="52">
        <v>557.4</v>
      </c>
      <c r="D20" s="50" t="s">
        <v>105</v>
      </c>
      <c r="E20" s="53"/>
      <c r="F20" s="54"/>
      <c r="H20" s="55"/>
      <c r="I20" s="50"/>
    </row>
    <row r="21" spans="1:19" s="51" customFormat="1" ht="19.899999999999999" customHeight="1" x14ac:dyDescent="0.25">
      <c r="A21" s="123"/>
      <c r="B21" s="56" t="s">
        <v>18</v>
      </c>
      <c r="C21" s="57"/>
      <c r="D21" s="50"/>
      <c r="E21" s="53"/>
      <c r="F21" s="50"/>
      <c r="H21" s="55"/>
      <c r="I21" s="50"/>
    </row>
    <row r="22" spans="1:19" s="51" customFormat="1" ht="19.899999999999999" customHeight="1" x14ac:dyDescent="0.25">
      <c r="A22" s="123"/>
      <c r="B22" s="47" t="s">
        <v>19</v>
      </c>
      <c r="C22" s="52">
        <v>201</v>
      </c>
      <c r="D22" s="50" t="s">
        <v>105</v>
      </c>
      <c r="E22" s="53"/>
      <c r="F22" s="50"/>
      <c r="H22" s="55"/>
      <c r="I22" s="50"/>
      <c r="J22" s="133"/>
    </row>
    <row r="23" spans="1:19" s="51" customFormat="1" ht="19.899999999999999" customHeight="1" x14ac:dyDescent="0.25">
      <c r="A23" s="123"/>
      <c r="B23" s="47" t="s">
        <v>20</v>
      </c>
      <c r="C23" s="57">
        <f>C20-C22</f>
        <v>356.4</v>
      </c>
      <c r="D23" s="50" t="s">
        <v>105</v>
      </c>
      <c r="E23" s="53"/>
      <c r="F23" s="50"/>
      <c r="H23" s="55"/>
      <c r="I23" s="50"/>
      <c r="J23" s="142"/>
    </row>
    <row r="24" spans="1:19" s="280" customFormat="1" ht="22.5" customHeight="1" x14ac:dyDescent="0.25">
      <c r="A24" s="122"/>
      <c r="B24" s="24" t="s">
        <v>21</v>
      </c>
      <c r="C24" s="362" t="s">
        <v>504</v>
      </c>
      <c r="D24" s="362"/>
      <c r="E24" s="362"/>
      <c r="F24" s="362"/>
      <c r="G24" s="362"/>
      <c r="H24" s="362"/>
      <c r="I24" s="362"/>
    </row>
    <row r="25" spans="1:19" s="36" customFormat="1" ht="167.25" customHeight="1" x14ac:dyDescent="0.25">
      <c r="A25" s="281">
        <v>2</v>
      </c>
      <c r="B25" s="284" t="s">
        <v>73</v>
      </c>
      <c r="C25" s="366" t="s">
        <v>592</v>
      </c>
      <c r="D25" s="366"/>
      <c r="E25" s="366"/>
      <c r="F25" s="366"/>
      <c r="G25" s="366"/>
      <c r="H25" s="366"/>
      <c r="I25" s="366"/>
      <c r="J25" s="133"/>
      <c r="K25" s="133"/>
      <c r="L25" s="133"/>
      <c r="M25" s="59"/>
      <c r="N25" s="59"/>
      <c r="O25" s="59"/>
      <c r="P25" s="59"/>
      <c r="Q25" s="59"/>
      <c r="R25" s="59"/>
      <c r="S25" s="59"/>
    </row>
    <row r="26" spans="1:19" s="36" customFormat="1" ht="21" customHeight="1" x14ac:dyDescent="0.25">
      <c r="A26" s="281">
        <v>3</v>
      </c>
      <c r="B26" s="364" t="s">
        <v>82</v>
      </c>
      <c r="C26" s="364"/>
      <c r="D26" s="364"/>
      <c r="E26" s="364"/>
      <c r="F26" s="364"/>
      <c r="G26" s="282"/>
      <c r="H26" s="149" t="s">
        <v>112</v>
      </c>
      <c r="I26" s="282" t="s">
        <v>55</v>
      </c>
      <c r="J26" s="59"/>
      <c r="K26" s="142"/>
      <c r="L26" s="59"/>
      <c r="M26" s="59"/>
      <c r="N26" s="59"/>
      <c r="O26" s="59"/>
      <c r="P26" s="59"/>
      <c r="Q26" s="59"/>
      <c r="R26" s="59"/>
      <c r="S26" s="59"/>
    </row>
    <row r="27" spans="1:19" s="36" customFormat="1" ht="23.25" customHeight="1" x14ac:dyDescent="0.25">
      <c r="A27" s="281">
        <v>4</v>
      </c>
      <c r="B27" s="364" t="s">
        <v>65</v>
      </c>
      <c r="C27" s="364"/>
      <c r="D27" s="364"/>
      <c r="E27" s="364"/>
      <c r="F27" s="364"/>
      <c r="G27" s="364"/>
      <c r="H27" s="148" t="s">
        <v>118</v>
      </c>
      <c r="I27" s="282" t="s">
        <v>84</v>
      </c>
      <c r="J27" s="59"/>
      <c r="K27" s="59"/>
      <c r="L27" s="59"/>
      <c r="M27" s="59"/>
      <c r="N27" s="59"/>
      <c r="O27" s="59"/>
      <c r="P27" s="59"/>
      <c r="Q27" s="59"/>
      <c r="R27" s="59"/>
      <c r="S27" s="59"/>
    </row>
    <row r="28" spans="1:19" s="41" customFormat="1" x14ac:dyDescent="0.25">
      <c r="A28" s="281" t="s">
        <v>88</v>
      </c>
      <c r="B28" s="364" t="s">
        <v>87</v>
      </c>
      <c r="C28" s="364"/>
      <c r="D28" s="364"/>
      <c r="E28" s="364"/>
      <c r="F28" s="364"/>
      <c r="G28" s="364"/>
      <c r="H28" s="364"/>
      <c r="I28" s="364"/>
    </row>
    <row r="29" spans="1:19" s="40" customFormat="1" ht="20.25" customHeight="1" x14ac:dyDescent="0.25">
      <c r="A29" s="281" t="s">
        <v>4</v>
      </c>
      <c r="B29" s="360" t="s">
        <v>24</v>
      </c>
      <c r="C29" s="360"/>
      <c r="D29" s="360"/>
      <c r="E29" s="360"/>
      <c r="F29" s="360"/>
      <c r="G29" s="360"/>
      <c r="H29" s="360"/>
      <c r="I29" s="360"/>
      <c r="J29" s="41"/>
      <c r="K29" s="41"/>
      <c r="L29" s="41"/>
      <c r="M29" s="41"/>
      <c r="N29" s="41"/>
      <c r="O29" s="41"/>
      <c r="P29" s="41"/>
      <c r="Q29" s="41"/>
      <c r="R29" s="41"/>
      <c r="S29" s="41"/>
    </row>
    <row r="30" spans="1:19" s="24" customFormat="1" ht="32.25" customHeight="1" x14ac:dyDescent="0.25">
      <c r="A30" s="351" t="s">
        <v>25</v>
      </c>
      <c r="B30" s="353" t="s">
        <v>26</v>
      </c>
      <c r="C30" s="354"/>
      <c r="D30" s="354"/>
      <c r="E30" s="354"/>
      <c r="F30" s="354"/>
      <c r="G30" s="354"/>
      <c r="H30" s="354"/>
      <c r="I30" s="355"/>
    </row>
    <row r="31" spans="1:19" s="25" customFormat="1" ht="49.5" x14ac:dyDescent="0.25">
      <c r="A31" s="352"/>
      <c r="B31" s="353" t="s">
        <v>27</v>
      </c>
      <c r="C31" s="355"/>
      <c r="D31" s="21" t="s">
        <v>28</v>
      </c>
      <c r="E31" s="22" t="s">
        <v>29</v>
      </c>
      <c r="F31" s="22" t="s">
        <v>30</v>
      </c>
      <c r="G31" s="21" t="s">
        <v>31</v>
      </c>
      <c r="H31" s="22" t="s">
        <v>104</v>
      </c>
      <c r="I31" s="22" t="s">
        <v>33</v>
      </c>
    </row>
    <row r="32" spans="1:19" s="62" customFormat="1" ht="18.75" customHeight="1" x14ac:dyDescent="0.25">
      <c r="A32" s="61">
        <v>1</v>
      </c>
      <c r="B32" s="356">
        <v>2</v>
      </c>
      <c r="C32" s="357"/>
      <c r="D32" s="61">
        <v>3</v>
      </c>
      <c r="E32" s="61">
        <v>4</v>
      </c>
      <c r="F32" s="61">
        <v>5</v>
      </c>
      <c r="G32" s="61">
        <v>6</v>
      </c>
      <c r="H32" s="61">
        <v>7</v>
      </c>
      <c r="I32" s="61">
        <v>8</v>
      </c>
    </row>
    <row r="33" spans="1:9" s="68" customFormat="1" ht="39" customHeight="1" x14ac:dyDescent="0.25">
      <c r="A33" s="63">
        <v>1</v>
      </c>
      <c r="B33" s="358" t="s">
        <v>563</v>
      </c>
      <c r="C33" s="359"/>
      <c r="D33" s="64" t="s">
        <v>106</v>
      </c>
      <c r="E33" s="65">
        <f>C22</f>
        <v>201</v>
      </c>
      <c r="F33" s="63"/>
      <c r="G33" s="66"/>
      <c r="H33" s="166">
        <f>E33*F33*G33</f>
        <v>0</v>
      </c>
      <c r="I33" s="67"/>
    </row>
    <row r="34" spans="1:9" s="71" customFormat="1" ht="30.75" customHeight="1" x14ac:dyDescent="0.25">
      <c r="A34" s="69"/>
      <c r="B34" s="349" t="s">
        <v>34</v>
      </c>
      <c r="C34" s="350"/>
      <c r="D34" s="69"/>
      <c r="E34" s="69"/>
      <c r="F34" s="69"/>
      <c r="G34" s="69"/>
      <c r="H34" s="169">
        <f>SUM(H33:H33)</f>
        <v>0</v>
      </c>
      <c r="I34" s="69"/>
    </row>
    <row r="35" spans="1:9" ht="9" customHeight="1" x14ac:dyDescent="0.25">
      <c r="A35" s="77"/>
      <c r="B35" s="72"/>
      <c r="C35" s="72"/>
      <c r="D35" s="73"/>
      <c r="E35" s="73"/>
      <c r="F35" s="73"/>
      <c r="G35" s="73"/>
      <c r="H35" s="73"/>
      <c r="I35" s="73"/>
    </row>
    <row r="36" spans="1:9" ht="21" customHeight="1" x14ac:dyDescent="0.25">
      <c r="A36" s="75" t="s">
        <v>9</v>
      </c>
      <c r="B36" s="360" t="s">
        <v>35</v>
      </c>
      <c r="C36" s="360"/>
      <c r="D36" s="360"/>
      <c r="E36" s="360"/>
      <c r="F36" s="360"/>
      <c r="G36" s="360"/>
      <c r="H36" s="360"/>
      <c r="I36" s="360"/>
    </row>
    <row r="37" spans="1:9" s="288" customFormat="1" ht="49.5" x14ac:dyDescent="0.25">
      <c r="A37" s="29" t="s">
        <v>25</v>
      </c>
      <c r="B37" s="353" t="s">
        <v>27</v>
      </c>
      <c r="C37" s="355"/>
      <c r="D37" s="21" t="s">
        <v>28</v>
      </c>
      <c r="E37" s="22" t="s">
        <v>29</v>
      </c>
      <c r="F37" s="22" t="s">
        <v>30</v>
      </c>
      <c r="G37" s="21" t="s">
        <v>31</v>
      </c>
      <c r="H37" s="22" t="s">
        <v>32</v>
      </c>
      <c r="I37" s="22" t="s">
        <v>33</v>
      </c>
    </row>
    <row r="38" spans="1:9" s="62" customFormat="1" ht="18" customHeight="1" x14ac:dyDescent="0.25">
      <c r="A38" s="61">
        <v>1</v>
      </c>
      <c r="B38" s="356">
        <v>2</v>
      </c>
      <c r="C38" s="357"/>
      <c r="D38" s="61">
        <v>3</v>
      </c>
      <c r="E38" s="61">
        <v>4</v>
      </c>
      <c r="F38" s="61">
        <v>5</v>
      </c>
      <c r="G38" s="61">
        <v>6</v>
      </c>
      <c r="H38" s="61">
        <v>7</v>
      </c>
      <c r="I38" s="61">
        <v>8</v>
      </c>
    </row>
    <row r="39" spans="1:9" ht="37.5" customHeight="1" x14ac:dyDescent="0.25">
      <c r="A39" s="26">
        <v>1</v>
      </c>
      <c r="B39" s="353"/>
      <c r="C39" s="355"/>
      <c r="D39" s="27"/>
      <c r="E39" s="22"/>
      <c r="F39" s="27"/>
      <c r="G39" s="27"/>
      <c r="H39" s="27"/>
      <c r="I39" s="26" t="s">
        <v>36</v>
      </c>
    </row>
    <row r="40" spans="1:9" s="71" customFormat="1" ht="25.5" customHeight="1" x14ac:dyDescent="0.25">
      <c r="A40" s="69"/>
      <c r="B40" s="349" t="s">
        <v>34</v>
      </c>
      <c r="C40" s="350"/>
      <c r="D40" s="74"/>
      <c r="E40" s="69"/>
      <c r="F40" s="74"/>
      <c r="G40" s="74"/>
      <c r="H40" s="74"/>
      <c r="I40" s="69"/>
    </row>
    <row r="41" spans="1:9" x14ac:dyDescent="0.25">
      <c r="A41" s="124"/>
      <c r="B41" s="75"/>
      <c r="C41" s="75"/>
      <c r="D41" s="283"/>
      <c r="E41" s="75"/>
      <c r="F41" s="283"/>
      <c r="G41" s="283"/>
      <c r="H41" s="283"/>
      <c r="I41" s="75"/>
    </row>
    <row r="42" spans="1:9" x14ac:dyDescent="0.25">
      <c r="A42" s="324"/>
      <c r="B42" s="327" t="s">
        <v>37</v>
      </c>
      <c r="C42" s="328"/>
      <c r="D42" s="328"/>
      <c r="E42" s="328"/>
      <c r="F42" s="328"/>
      <c r="G42" s="329"/>
      <c r="H42" s="27"/>
      <c r="I42" s="26" t="s">
        <v>74</v>
      </c>
    </row>
    <row r="43" spans="1:9" x14ac:dyDescent="0.25">
      <c r="A43" s="325"/>
      <c r="B43" s="330" t="s">
        <v>38</v>
      </c>
      <c r="C43" s="331"/>
      <c r="D43" s="331"/>
      <c r="E43" s="331"/>
      <c r="F43" s="331"/>
      <c r="G43" s="332"/>
      <c r="H43" s="27"/>
      <c r="I43" s="26" t="s">
        <v>74</v>
      </c>
    </row>
    <row r="44" spans="1:9" x14ac:dyDescent="0.25">
      <c r="A44" s="326"/>
      <c r="B44" s="333" t="s">
        <v>39</v>
      </c>
      <c r="C44" s="334"/>
      <c r="D44" s="334"/>
      <c r="E44" s="334"/>
      <c r="F44" s="334"/>
      <c r="G44" s="335"/>
      <c r="H44" s="27"/>
      <c r="I44" s="26" t="s">
        <v>74</v>
      </c>
    </row>
    <row r="45" spans="1:9" ht="6.75" customHeight="1" x14ac:dyDescent="0.25">
      <c r="A45" s="77"/>
      <c r="B45" s="72"/>
      <c r="C45" s="72"/>
      <c r="D45" s="72"/>
      <c r="E45" s="78"/>
      <c r="F45" s="72"/>
      <c r="G45" s="72"/>
      <c r="H45" s="79"/>
      <c r="I45" s="79"/>
    </row>
    <row r="46" spans="1:9" ht="21" customHeight="1" x14ac:dyDescent="0.25">
      <c r="A46" s="125" t="s">
        <v>22</v>
      </c>
      <c r="B46" s="376" t="s">
        <v>40</v>
      </c>
      <c r="C46" s="376"/>
      <c r="D46" s="376"/>
      <c r="E46" s="376"/>
      <c r="F46" s="376"/>
      <c r="G46" s="376"/>
      <c r="H46" s="285"/>
      <c r="I46" s="81"/>
    </row>
    <row r="47" spans="1:9" s="30" customFormat="1" ht="49.5" x14ac:dyDescent="0.25">
      <c r="A47" s="21" t="s">
        <v>25</v>
      </c>
      <c r="B47" s="21" t="s">
        <v>41</v>
      </c>
      <c r="C47" s="21" t="s">
        <v>28</v>
      </c>
      <c r="D47" s="21" t="s">
        <v>42</v>
      </c>
      <c r="E47" s="21" t="s">
        <v>43</v>
      </c>
      <c r="F47" s="22" t="s">
        <v>30</v>
      </c>
      <c r="G47" s="21" t="s">
        <v>31</v>
      </c>
      <c r="H47" s="21" t="s">
        <v>45</v>
      </c>
      <c r="I47" s="21" t="s">
        <v>33</v>
      </c>
    </row>
    <row r="48" spans="1:9" s="83" customFormat="1" ht="18" customHeight="1" x14ac:dyDescent="0.25">
      <c r="A48" s="82">
        <v>1</v>
      </c>
      <c r="B48" s="82">
        <v>2</v>
      </c>
      <c r="C48" s="82">
        <v>3</v>
      </c>
      <c r="D48" s="82">
        <v>4</v>
      </c>
      <c r="E48" s="82">
        <v>5</v>
      </c>
      <c r="F48" s="82">
        <v>6</v>
      </c>
      <c r="G48" s="82">
        <v>7</v>
      </c>
      <c r="H48" s="82">
        <v>8</v>
      </c>
      <c r="I48" s="82">
        <v>9</v>
      </c>
    </row>
    <row r="49" spans="1:12" s="89" customFormat="1" ht="30" customHeight="1" x14ac:dyDescent="0.25">
      <c r="A49" s="21" t="s">
        <v>46</v>
      </c>
      <c r="B49" s="84" t="s">
        <v>47</v>
      </c>
      <c r="C49" s="85"/>
      <c r="D49" s="85"/>
      <c r="E49" s="86"/>
      <c r="F49" s="85"/>
      <c r="G49" s="85"/>
      <c r="H49" s="167">
        <f>SUM(H54:H57)</f>
        <v>0</v>
      </c>
      <c r="I49" s="88"/>
    </row>
    <row r="50" spans="1:12" s="89" customFormat="1" ht="30" customHeight="1" x14ac:dyDescent="0.25">
      <c r="A50" s="286">
        <v>1</v>
      </c>
      <c r="B50" s="186" t="s">
        <v>90</v>
      </c>
      <c r="C50" s="64" t="s">
        <v>106</v>
      </c>
      <c r="D50" s="96" t="s">
        <v>495</v>
      </c>
      <c r="E50" s="234">
        <f>6.6*15.98</f>
        <v>105.468</v>
      </c>
      <c r="F50" s="200"/>
      <c r="G50" s="200"/>
      <c r="H50" s="201"/>
      <c r="I50" s="347" t="s">
        <v>110</v>
      </c>
    </row>
    <row r="51" spans="1:12" s="89" customFormat="1" ht="30" customHeight="1" x14ac:dyDescent="0.25">
      <c r="A51" s="286">
        <v>2</v>
      </c>
      <c r="B51" s="186" t="s">
        <v>151</v>
      </c>
      <c r="C51" s="64" t="s">
        <v>106</v>
      </c>
      <c r="D51" s="96" t="s">
        <v>497</v>
      </c>
      <c r="E51" s="96">
        <f>2.5*15.98</f>
        <v>39.950000000000003</v>
      </c>
      <c r="F51" s="200"/>
      <c r="G51" s="200"/>
      <c r="H51" s="201"/>
      <c r="I51" s="348"/>
    </row>
    <row r="52" spans="1:12" s="89" customFormat="1" ht="30" customHeight="1" x14ac:dyDescent="0.25">
      <c r="A52" s="286">
        <v>3</v>
      </c>
      <c r="B52" s="186" t="s">
        <v>496</v>
      </c>
      <c r="C52" s="64" t="s">
        <v>106</v>
      </c>
      <c r="D52" s="96" t="s">
        <v>494</v>
      </c>
      <c r="E52" s="96">
        <f>1.4*1</f>
        <v>1.4</v>
      </c>
      <c r="F52" s="200"/>
      <c r="G52" s="200"/>
      <c r="H52" s="201"/>
      <c r="I52" s="348"/>
    </row>
    <row r="53" spans="1:12" s="89" customFormat="1" ht="30" customHeight="1" x14ac:dyDescent="0.25">
      <c r="A53" s="286">
        <v>4</v>
      </c>
      <c r="B53" s="186" t="s">
        <v>498</v>
      </c>
      <c r="C53" s="64" t="s">
        <v>106</v>
      </c>
      <c r="D53" s="96" t="s">
        <v>499</v>
      </c>
      <c r="E53" s="234">
        <f>(1.6+2.8)*2</f>
        <v>8.8000000000000007</v>
      </c>
      <c r="F53" s="200"/>
      <c r="G53" s="200"/>
      <c r="H53" s="201"/>
      <c r="I53" s="348"/>
    </row>
    <row r="54" spans="1:12" s="89" customFormat="1" ht="70.150000000000006" customHeight="1" x14ac:dyDescent="0.25">
      <c r="A54" s="286">
        <v>5</v>
      </c>
      <c r="B54" s="91" t="s">
        <v>500</v>
      </c>
      <c r="C54" s="64" t="s">
        <v>106</v>
      </c>
      <c r="D54" s="96" t="s">
        <v>559</v>
      </c>
      <c r="E54" s="234">
        <f>(2*3)+(6.4*11.28)</f>
        <v>78.191999999999993</v>
      </c>
      <c r="F54" s="93"/>
      <c r="G54" s="93"/>
      <c r="H54" s="159"/>
      <c r="I54" s="348"/>
    </row>
    <row r="55" spans="1:12" s="89" customFormat="1" ht="90" customHeight="1" x14ac:dyDescent="0.25">
      <c r="A55" s="286">
        <v>6</v>
      </c>
      <c r="B55" s="91" t="s">
        <v>501</v>
      </c>
      <c r="C55" s="64" t="s">
        <v>106</v>
      </c>
      <c r="D55" s="96" t="s">
        <v>502</v>
      </c>
      <c r="E55" s="234">
        <v>33.090000000000003</v>
      </c>
      <c r="F55" s="93"/>
      <c r="G55" s="93"/>
      <c r="H55" s="159"/>
      <c r="I55" s="348"/>
    </row>
    <row r="56" spans="1:12" s="89" customFormat="1" ht="29.25" customHeight="1" x14ac:dyDescent="0.25">
      <c r="A56" s="286" t="s">
        <v>131</v>
      </c>
      <c r="B56" s="132" t="s">
        <v>310</v>
      </c>
      <c r="C56" s="64" t="s">
        <v>106</v>
      </c>
      <c r="D56" s="96" t="s">
        <v>400</v>
      </c>
      <c r="E56" s="92">
        <f>E55</f>
        <v>33.090000000000003</v>
      </c>
      <c r="F56" s="93"/>
      <c r="G56" s="93"/>
      <c r="H56" s="159"/>
      <c r="I56" s="348"/>
    </row>
    <row r="57" spans="1:12" s="89" customFormat="1" ht="27" customHeight="1" x14ac:dyDescent="0.25">
      <c r="A57" s="286">
        <v>7</v>
      </c>
      <c r="B57" s="132" t="s">
        <v>95</v>
      </c>
      <c r="C57" s="64" t="s">
        <v>490</v>
      </c>
      <c r="D57" s="96" t="s">
        <v>503</v>
      </c>
      <c r="E57" s="92">
        <v>7.5</v>
      </c>
      <c r="F57" s="93"/>
      <c r="G57" s="93"/>
      <c r="H57" s="159"/>
      <c r="I57" s="380"/>
    </row>
    <row r="58" spans="1:12" s="89" customFormat="1" ht="25.5" customHeight="1" x14ac:dyDescent="0.25">
      <c r="A58" s="21" t="s">
        <v>48</v>
      </c>
      <c r="B58" s="84" t="s">
        <v>49</v>
      </c>
      <c r="C58" s="85"/>
      <c r="D58" s="85"/>
      <c r="E58" s="92"/>
      <c r="F58" s="85"/>
      <c r="G58" s="85"/>
      <c r="H58" s="167">
        <f>SUM(H59:H59)</f>
        <v>0</v>
      </c>
      <c r="I58" s="95"/>
    </row>
    <row r="59" spans="1:12" s="89" customFormat="1" ht="24" customHeight="1" x14ac:dyDescent="0.25">
      <c r="A59" s="286"/>
      <c r="B59" s="186"/>
      <c r="C59" s="200"/>
      <c r="D59" s="286"/>
      <c r="E59" s="92"/>
      <c r="F59" s="85"/>
      <c r="G59" s="85"/>
      <c r="H59" s="201"/>
      <c r="I59" s="289"/>
    </row>
    <row r="60" spans="1:12" s="102" customFormat="1" ht="31.5" customHeight="1" x14ac:dyDescent="0.25">
      <c r="A60" s="126"/>
      <c r="B60" s="100" t="s">
        <v>50</v>
      </c>
      <c r="C60" s="100"/>
      <c r="D60" s="100"/>
      <c r="E60" s="100"/>
      <c r="F60" s="100"/>
      <c r="G60" s="100"/>
      <c r="H60" s="158">
        <f>H49+H58</f>
        <v>0</v>
      </c>
      <c r="I60" s="101"/>
    </row>
    <row r="61" spans="1:12" ht="22.5" customHeight="1" x14ac:dyDescent="0.25">
      <c r="A61" s="127">
        <v>4</v>
      </c>
      <c r="B61" s="337" t="s">
        <v>51</v>
      </c>
      <c r="C61" s="337"/>
      <c r="D61" s="337"/>
      <c r="E61" s="337"/>
      <c r="F61" s="337"/>
      <c r="G61" s="337"/>
      <c r="H61" s="51"/>
      <c r="I61" s="51"/>
    </row>
    <row r="62" spans="1:12" s="104" customFormat="1" ht="49.5" x14ac:dyDescent="0.25">
      <c r="A62" s="103" t="s">
        <v>25</v>
      </c>
      <c r="B62" s="338" t="s">
        <v>52</v>
      </c>
      <c r="C62" s="339"/>
      <c r="D62" s="21" t="s">
        <v>29</v>
      </c>
      <c r="E62" s="21" t="s">
        <v>53</v>
      </c>
      <c r="F62" s="21" t="s">
        <v>44</v>
      </c>
      <c r="G62" s="21" t="s">
        <v>54</v>
      </c>
      <c r="H62" s="21" t="s">
        <v>45</v>
      </c>
      <c r="I62" s="21" t="s">
        <v>33</v>
      </c>
    </row>
    <row r="63" spans="1:12" ht="28.5" customHeight="1" x14ac:dyDescent="0.25">
      <c r="A63" s="105"/>
      <c r="B63" s="340"/>
      <c r="C63" s="341"/>
      <c r="D63" s="106"/>
      <c r="E63" s="105"/>
      <c r="F63" s="107"/>
      <c r="G63" s="108"/>
      <c r="H63" s="108"/>
      <c r="I63" s="109"/>
      <c r="L63" s="110"/>
    </row>
    <row r="64" spans="1:12" s="112" customFormat="1" ht="27.75" customHeight="1" x14ac:dyDescent="0.25">
      <c r="A64" s="126"/>
      <c r="B64" s="342" t="s">
        <v>34</v>
      </c>
      <c r="C64" s="343"/>
      <c r="D64" s="100"/>
      <c r="E64" s="100"/>
      <c r="F64" s="100"/>
      <c r="G64" s="100"/>
      <c r="H64" s="163">
        <f>SUM(H63)</f>
        <v>0</v>
      </c>
      <c r="I64" s="111"/>
      <c r="L64" s="113"/>
    </row>
    <row r="65" spans="1:9" s="115" customFormat="1" ht="27.75" customHeight="1" x14ac:dyDescent="0.25">
      <c r="A65" s="128">
        <v>5</v>
      </c>
      <c r="B65" s="344" t="s">
        <v>56</v>
      </c>
      <c r="C65" s="344"/>
      <c r="D65" s="344"/>
      <c r="E65" s="344"/>
      <c r="F65" s="344"/>
      <c r="G65" s="345"/>
      <c r="H65" s="164">
        <f>H64+H60+H40+H34</f>
        <v>0</v>
      </c>
      <c r="I65" s="114" t="s">
        <v>57</v>
      </c>
    </row>
    <row r="66" spans="1:9" s="117" customFormat="1" ht="17.25" x14ac:dyDescent="0.25">
      <c r="A66" s="129"/>
      <c r="B66" s="116" t="s">
        <v>78</v>
      </c>
      <c r="C66" s="346" t="s">
        <v>91</v>
      </c>
      <c r="D66" s="346"/>
      <c r="E66" s="346"/>
      <c r="F66" s="346"/>
      <c r="G66" s="346"/>
      <c r="H66" s="346"/>
      <c r="I66" s="346"/>
    </row>
    <row r="67" spans="1:9" s="41" customFormat="1" ht="17.25" hidden="1" x14ac:dyDescent="0.3">
      <c r="A67" s="281"/>
      <c r="B67" s="118"/>
      <c r="E67" s="119"/>
      <c r="F67" s="316" t="s">
        <v>75</v>
      </c>
      <c r="G67" s="316"/>
      <c r="H67" s="316"/>
      <c r="I67" s="316"/>
    </row>
    <row r="68" spans="1:9" hidden="1" x14ac:dyDescent="0.25">
      <c r="F68" s="316" t="s">
        <v>76</v>
      </c>
      <c r="G68" s="316"/>
      <c r="H68" s="316"/>
      <c r="I68" s="316"/>
    </row>
    <row r="69" spans="1:9" hidden="1" x14ac:dyDescent="0.25">
      <c r="F69" s="317"/>
      <c r="G69" s="317"/>
      <c r="H69" s="317"/>
      <c r="I69" s="317"/>
    </row>
    <row r="70" spans="1:9" hidden="1" x14ac:dyDescent="0.25"/>
    <row r="71" spans="1:9" hidden="1" x14ac:dyDescent="0.25"/>
    <row r="72" spans="1:9" hidden="1" x14ac:dyDescent="0.25"/>
    <row r="73" spans="1:9" hidden="1" x14ac:dyDescent="0.25"/>
    <row r="74" spans="1:9" hidden="1" x14ac:dyDescent="0.25"/>
    <row r="75" spans="1:9" hidden="1" x14ac:dyDescent="0.25">
      <c r="F75" s="318" t="s">
        <v>77</v>
      </c>
      <c r="G75" s="318"/>
      <c r="H75" s="318"/>
      <c r="I75" s="318"/>
    </row>
    <row r="76" spans="1:9" ht="65.25" customHeight="1" x14ac:dyDescent="0.25">
      <c r="A76" s="319" t="s">
        <v>100</v>
      </c>
      <c r="B76" s="319"/>
      <c r="C76" s="319"/>
      <c r="D76" s="319"/>
      <c r="E76" s="319"/>
      <c r="F76" s="319"/>
      <c r="G76" s="319"/>
      <c r="H76" s="319"/>
      <c r="I76" s="319"/>
    </row>
    <row r="77" spans="1:9" x14ac:dyDescent="0.25">
      <c r="A77" s="315" t="s">
        <v>102</v>
      </c>
      <c r="B77" s="315"/>
      <c r="C77" s="315"/>
      <c r="D77" s="315"/>
      <c r="E77" s="315"/>
      <c r="F77" s="315"/>
      <c r="G77" s="315"/>
      <c r="H77" s="315"/>
      <c r="I77" s="315"/>
    </row>
    <row r="78" spans="1:9" x14ac:dyDescent="0.25">
      <c r="A78" s="320" t="s">
        <v>107</v>
      </c>
      <c r="B78" s="320"/>
      <c r="C78" s="320"/>
      <c r="D78" s="321"/>
      <c r="E78" s="322" t="s">
        <v>108</v>
      </c>
      <c r="F78" s="323"/>
      <c r="G78" s="323"/>
      <c r="H78" s="323"/>
      <c r="I78" s="323"/>
    </row>
    <row r="79" spans="1:9" x14ac:dyDescent="0.25">
      <c r="A79" s="320"/>
      <c r="B79" s="320"/>
      <c r="C79" s="320"/>
      <c r="D79" s="321"/>
      <c r="E79" s="322"/>
      <c r="F79" s="323"/>
      <c r="G79" s="323"/>
      <c r="H79" s="323"/>
      <c r="I79" s="323"/>
    </row>
    <row r="80" spans="1:9" x14ac:dyDescent="0.25">
      <c r="A80" s="320"/>
      <c r="B80" s="320"/>
      <c r="C80" s="320"/>
      <c r="D80" s="321"/>
      <c r="E80" s="38"/>
      <c r="I80" s="20"/>
    </row>
    <row r="81" spans="1:9" x14ac:dyDescent="0.25">
      <c r="A81" s="315" t="s">
        <v>101</v>
      </c>
      <c r="B81" s="315"/>
      <c r="C81" s="315"/>
      <c r="D81" s="315"/>
      <c r="E81" s="315"/>
      <c r="F81" s="315"/>
      <c r="G81" s="315"/>
      <c r="H81" s="315"/>
      <c r="I81" s="315"/>
    </row>
  </sheetData>
  <mergeCells count="58">
    <mergeCell ref="A78:D80"/>
    <mergeCell ref="E78:I79"/>
    <mergeCell ref="A81:I81"/>
    <mergeCell ref="F67:I67"/>
    <mergeCell ref="F68:I68"/>
    <mergeCell ref="F69:I69"/>
    <mergeCell ref="F75:I75"/>
    <mergeCell ref="A76:I76"/>
    <mergeCell ref="A77:I77"/>
    <mergeCell ref="C66:I66"/>
    <mergeCell ref="A42:A44"/>
    <mergeCell ref="B42:G42"/>
    <mergeCell ref="B43:G43"/>
    <mergeCell ref="B44:G44"/>
    <mergeCell ref="B46:G46"/>
    <mergeCell ref="B61:G61"/>
    <mergeCell ref="B62:C62"/>
    <mergeCell ref="B63:C63"/>
    <mergeCell ref="B64:C64"/>
    <mergeCell ref="B65:G65"/>
    <mergeCell ref="I50:I57"/>
    <mergeCell ref="B40:C40"/>
    <mergeCell ref="B29:I29"/>
    <mergeCell ref="A30:A31"/>
    <mergeCell ref="B30:I30"/>
    <mergeCell ref="B31:C31"/>
    <mergeCell ref="B32:C32"/>
    <mergeCell ref="B33:C33"/>
    <mergeCell ref="B34:C34"/>
    <mergeCell ref="B36:I36"/>
    <mergeCell ref="B37:C37"/>
    <mergeCell ref="B38:C38"/>
    <mergeCell ref="B39:C39"/>
    <mergeCell ref="B28:I28"/>
    <mergeCell ref="C10:I10"/>
    <mergeCell ref="C11:I11"/>
    <mergeCell ref="F13:I13"/>
    <mergeCell ref="C14:I14"/>
    <mergeCell ref="C15:I15"/>
    <mergeCell ref="B17:I17"/>
    <mergeCell ref="D19:E19"/>
    <mergeCell ref="C24:I24"/>
    <mergeCell ref="C25:I25"/>
    <mergeCell ref="B26:F26"/>
    <mergeCell ref="B27:G27"/>
    <mergeCell ref="B13:E13"/>
    <mergeCell ref="A5:I5"/>
    <mergeCell ref="A6:I6"/>
    <mergeCell ref="A7:I7"/>
    <mergeCell ref="B8:I8"/>
    <mergeCell ref="B9:E9"/>
    <mergeCell ref="F9:I9"/>
    <mergeCell ref="A1:D1"/>
    <mergeCell ref="E1:I1"/>
    <mergeCell ref="A2:D2"/>
    <mergeCell ref="E2:I2"/>
    <mergeCell ref="A4:C4"/>
    <mergeCell ref="E4:I4"/>
  </mergeCells>
  <printOptions horizontalCentered="1"/>
  <pageMargins left="0.15748031496062992" right="0.15748031496062992" top="0.19685039370078741" bottom="0.15748031496062992" header="0.19685039370078741" footer="0.15748031496062992"/>
  <pageSetup paperSize="9" scale="80" orientation="portrait" r:id="rId1"/>
  <drawing r:id="rId2"/>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84"/>
  <sheetViews>
    <sheetView topLeftCell="A31" workbookViewId="0">
      <selection activeCell="B33" sqref="B33:C33"/>
    </sheetView>
  </sheetViews>
  <sheetFormatPr defaultColWidth="9.140625" defaultRowHeight="16.5" x14ac:dyDescent="0.25"/>
  <cols>
    <col min="1" max="1" width="4.28515625" style="68" customWidth="1"/>
    <col min="2" max="2" width="27.28515625" style="20" customWidth="1"/>
    <col min="3" max="3" width="8.7109375" style="20" customWidth="1"/>
    <col min="4" max="4" width="19.28515625" style="20" customWidth="1"/>
    <col min="5" max="5" width="9.7109375" style="288" customWidth="1"/>
    <col min="6" max="6" width="11.5703125" style="20" customWidth="1"/>
    <col min="7" max="7" width="9.42578125" style="20" customWidth="1"/>
    <col min="8" max="8" width="13.85546875" style="20" customWidth="1"/>
    <col min="9" max="9" width="14.28515625" style="120" customWidth="1"/>
    <col min="10" max="11" width="9.140625" style="20"/>
    <col min="12" max="12" width="11.42578125" style="20" customWidth="1"/>
    <col min="13" max="16384" width="9.140625" style="20"/>
  </cols>
  <sheetData>
    <row r="1" spans="1:17" s="36" customFormat="1" x14ac:dyDescent="0.25">
      <c r="A1" s="368" t="s">
        <v>98</v>
      </c>
      <c r="B1" s="368"/>
      <c r="C1" s="368"/>
      <c r="D1" s="368"/>
      <c r="E1" s="368" t="s">
        <v>0</v>
      </c>
      <c r="F1" s="368"/>
      <c r="G1" s="368"/>
      <c r="H1" s="368"/>
      <c r="I1" s="368"/>
    </row>
    <row r="2" spans="1:17" s="36" customFormat="1" x14ac:dyDescent="0.25">
      <c r="A2" s="369" t="s">
        <v>99</v>
      </c>
      <c r="B2" s="369"/>
      <c r="C2" s="369"/>
      <c r="D2" s="369"/>
      <c r="E2" s="369" t="s">
        <v>1</v>
      </c>
      <c r="F2" s="368"/>
      <c r="G2" s="368"/>
      <c r="H2" s="368"/>
      <c r="I2" s="368"/>
    </row>
    <row r="3" spans="1:17" s="36" customFormat="1" ht="12" customHeight="1" x14ac:dyDescent="0.25">
      <c r="A3" s="281"/>
      <c r="C3" s="281"/>
      <c r="D3" s="281"/>
      <c r="E3" s="281"/>
      <c r="F3" s="281"/>
      <c r="G3" s="281"/>
      <c r="H3" s="281"/>
      <c r="I3" s="37"/>
    </row>
    <row r="4" spans="1:17" s="36" customFormat="1" ht="23.25" customHeight="1" x14ac:dyDescent="0.25">
      <c r="A4" s="369" t="s">
        <v>89</v>
      </c>
      <c r="B4" s="369"/>
      <c r="C4" s="369"/>
      <c r="E4" s="370" t="s">
        <v>185</v>
      </c>
      <c r="F4" s="370"/>
      <c r="G4" s="370"/>
      <c r="H4" s="370"/>
      <c r="I4" s="370"/>
    </row>
    <row r="5" spans="1:17" s="40" customFormat="1" ht="23.25" customHeight="1" x14ac:dyDescent="0.25">
      <c r="A5" s="371" t="s">
        <v>85</v>
      </c>
      <c r="B5" s="371"/>
      <c r="C5" s="371"/>
      <c r="D5" s="371"/>
      <c r="E5" s="371"/>
      <c r="F5" s="371"/>
      <c r="G5" s="371"/>
      <c r="H5" s="371"/>
      <c r="I5" s="371"/>
    </row>
    <row r="6" spans="1:17" s="40" customFormat="1" ht="39.75" customHeight="1" x14ac:dyDescent="0.25">
      <c r="A6" s="372" t="s">
        <v>86</v>
      </c>
      <c r="B6" s="372"/>
      <c r="C6" s="372"/>
      <c r="D6" s="372"/>
      <c r="E6" s="372"/>
      <c r="F6" s="372"/>
      <c r="G6" s="372"/>
      <c r="H6" s="372"/>
      <c r="I6" s="372"/>
      <c r="Q6" s="41"/>
    </row>
    <row r="7" spans="1:17" s="40" customFormat="1" ht="20.25" customHeight="1" x14ac:dyDescent="0.25">
      <c r="A7" s="373" t="s">
        <v>207</v>
      </c>
      <c r="B7" s="373"/>
      <c r="C7" s="373"/>
      <c r="D7" s="373"/>
      <c r="E7" s="373"/>
      <c r="F7" s="373"/>
      <c r="G7" s="373"/>
      <c r="H7" s="373"/>
      <c r="I7" s="373"/>
    </row>
    <row r="8" spans="1:17" s="280" customFormat="1" ht="20.100000000000001" customHeight="1" x14ac:dyDescent="0.25">
      <c r="A8" s="279" t="s">
        <v>2</v>
      </c>
      <c r="B8" s="362" t="s">
        <v>3</v>
      </c>
      <c r="C8" s="362"/>
      <c r="D8" s="362"/>
      <c r="E8" s="362"/>
      <c r="F8" s="362"/>
      <c r="G8" s="362"/>
      <c r="H8" s="362"/>
      <c r="I8" s="362"/>
    </row>
    <row r="9" spans="1:17" s="280" customFormat="1" ht="20.100000000000001" customHeight="1" x14ac:dyDescent="0.25">
      <c r="A9" s="279" t="s">
        <v>4</v>
      </c>
      <c r="B9" s="374" t="s">
        <v>5</v>
      </c>
      <c r="C9" s="374"/>
      <c r="D9" s="374"/>
      <c r="E9" s="374"/>
      <c r="F9" s="365" t="s">
        <v>506</v>
      </c>
      <c r="G9" s="365"/>
      <c r="H9" s="365"/>
      <c r="I9" s="365"/>
    </row>
    <row r="10" spans="1:17" s="280" customFormat="1" ht="20.100000000000001" customHeight="1" x14ac:dyDescent="0.25">
      <c r="A10" s="122"/>
      <c r="B10" s="24" t="s">
        <v>6</v>
      </c>
      <c r="C10" s="365" t="s">
        <v>507</v>
      </c>
      <c r="D10" s="365"/>
      <c r="E10" s="365"/>
      <c r="F10" s="365"/>
      <c r="G10" s="365"/>
      <c r="H10" s="365"/>
      <c r="I10" s="365"/>
    </row>
    <row r="11" spans="1:17" s="280" customFormat="1" ht="20.100000000000001" customHeight="1" x14ac:dyDescent="0.25">
      <c r="A11" s="122"/>
      <c r="B11" s="24" t="s">
        <v>7</v>
      </c>
      <c r="C11" s="365" t="s">
        <v>507</v>
      </c>
      <c r="D11" s="365"/>
      <c r="E11" s="365"/>
      <c r="F11" s="365"/>
      <c r="G11" s="365"/>
      <c r="H11" s="365"/>
      <c r="I11" s="365"/>
    </row>
    <row r="12" spans="1:17" s="280" customFormat="1" ht="20.100000000000001" customHeight="1" x14ac:dyDescent="0.25">
      <c r="A12" s="122"/>
      <c r="B12" s="24" t="s">
        <v>11</v>
      </c>
      <c r="C12" s="233" t="s">
        <v>508</v>
      </c>
      <c r="D12" s="233"/>
      <c r="E12" s="233"/>
      <c r="F12" s="43"/>
      <c r="G12" s="43"/>
      <c r="H12" s="43"/>
      <c r="I12" s="43"/>
    </row>
    <row r="13" spans="1:17" s="280" customFormat="1" ht="20.100000000000001" customHeight="1" x14ac:dyDescent="0.25">
      <c r="A13" s="279" t="s">
        <v>9</v>
      </c>
      <c r="B13" s="44" t="s">
        <v>10</v>
      </c>
      <c r="E13" s="43"/>
      <c r="F13" s="362" t="str">
        <f>F9</f>
        <v>Nguyễn Văn Đẩu - Hồ Thị Bích</v>
      </c>
      <c r="G13" s="362"/>
      <c r="H13" s="362"/>
      <c r="I13" s="362"/>
      <c r="J13" s="143"/>
    </row>
    <row r="14" spans="1:17" s="280" customFormat="1" ht="20.100000000000001" customHeight="1" x14ac:dyDescent="0.25">
      <c r="A14" s="122"/>
      <c r="B14" s="24" t="s">
        <v>6</v>
      </c>
      <c r="C14" s="365" t="str">
        <f>+C10</f>
        <v>Thôn Yên Kiện Đồi - Xã Phú Nghĩa - TP Hà Nội</v>
      </c>
      <c r="D14" s="365"/>
      <c r="E14" s="365"/>
      <c r="F14" s="365"/>
      <c r="G14" s="365"/>
      <c r="H14" s="365"/>
      <c r="I14" s="365"/>
    </row>
    <row r="15" spans="1:17" s="280" customFormat="1" ht="20.100000000000001" customHeight="1" x14ac:dyDescent="0.25">
      <c r="A15" s="122"/>
      <c r="B15" s="24" t="s">
        <v>7</v>
      </c>
      <c r="C15" s="365" t="str">
        <f>C11</f>
        <v>Thôn Yên Kiện Đồi - Xã Phú Nghĩa - TP Hà Nội</v>
      </c>
      <c r="D15" s="365"/>
      <c r="E15" s="365"/>
      <c r="F15" s="365"/>
      <c r="G15" s="365"/>
      <c r="H15" s="365"/>
      <c r="I15" s="365"/>
    </row>
    <row r="16" spans="1:17" s="280" customFormat="1" ht="20.100000000000001" customHeight="1" x14ac:dyDescent="0.25">
      <c r="A16" s="122"/>
      <c r="B16" s="24" t="s">
        <v>11</v>
      </c>
      <c r="C16" s="233" t="str">
        <f>+C12</f>
        <v>001075024386</v>
      </c>
      <c r="D16" s="233"/>
      <c r="E16" s="233"/>
      <c r="F16" s="43"/>
      <c r="G16" s="43"/>
      <c r="H16" s="43"/>
      <c r="I16" s="43"/>
    </row>
    <row r="17" spans="1:19" s="280" customFormat="1" ht="20.100000000000001" customHeight="1" x14ac:dyDescent="0.25">
      <c r="A17" s="279" t="s">
        <v>12</v>
      </c>
      <c r="B17" s="362" t="s">
        <v>13</v>
      </c>
      <c r="C17" s="362"/>
      <c r="D17" s="362"/>
      <c r="E17" s="362"/>
      <c r="F17" s="362"/>
      <c r="G17" s="362"/>
      <c r="H17" s="362"/>
      <c r="I17" s="362"/>
    </row>
    <row r="18" spans="1:19" s="280" customFormat="1" ht="20.100000000000001" customHeight="1" x14ac:dyDescent="0.25">
      <c r="A18" s="279" t="s">
        <v>4</v>
      </c>
      <c r="B18" s="46" t="s">
        <v>14</v>
      </c>
      <c r="E18" s="43"/>
    </row>
    <row r="19" spans="1:19" s="51" customFormat="1" ht="20.100000000000001" customHeight="1" x14ac:dyDescent="0.25">
      <c r="A19" s="123"/>
      <c r="B19" s="47" t="s">
        <v>15</v>
      </c>
      <c r="C19" s="144">
        <v>25</v>
      </c>
      <c r="D19" s="363" t="s">
        <v>16</v>
      </c>
      <c r="E19" s="363"/>
      <c r="F19" s="49" t="s">
        <v>132</v>
      </c>
      <c r="G19" s="50"/>
      <c r="I19" s="50"/>
    </row>
    <row r="20" spans="1:19" s="51" customFormat="1" ht="20.100000000000001" customHeight="1" x14ac:dyDescent="0.25">
      <c r="A20" s="123"/>
      <c r="B20" s="47" t="s">
        <v>17</v>
      </c>
      <c r="C20" s="52">
        <v>240.5</v>
      </c>
      <c r="D20" s="50" t="s">
        <v>105</v>
      </c>
      <c r="E20" s="53"/>
      <c r="F20" s="54"/>
      <c r="H20" s="55"/>
      <c r="I20" s="50"/>
    </row>
    <row r="21" spans="1:19" s="51" customFormat="1" ht="20.100000000000001" customHeight="1" x14ac:dyDescent="0.25">
      <c r="A21" s="123"/>
      <c r="B21" s="56" t="s">
        <v>18</v>
      </c>
      <c r="C21" s="57"/>
      <c r="D21" s="50"/>
      <c r="E21" s="53"/>
      <c r="F21" s="50"/>
      <c r="H21" s="55"/>
      <c r="I21" s="50"/>
    </row>
    <row r="22" spans="1:19" s="51" customFormat="1" ht="20.100000000000001" customHeight="1" x14ac:dyDescent="0.25">
      <c r="A22" s="123"/>
      <c r="B22" s="47" t="s">
        <v>19</v>
      </c>
      <c r="C22" s="52">
        <v>103.2</v>
      </c>
      <c r="D22" s="50" t="s">
        <v>105</v>
      </c>
      <c r="E22" s="53"/>
      <c r="F22" s="50"/>
      <c r="H22" s="55"/>
      <c r="I22" s="50"/>
      <c r="J22" s="133"/>
    </row>
    <row r="23" spans="1:19" s="51" customFormat="1" ht="20.100000000000001" customHeight="1" x14ac:dyDescent="0.25">
      <c r="A23" s="123"/>
      <c r="B23" s="47" t="s">
        <v>20</v>
      </c>
      <c r="C23" s="57">
        <f>C20-C22</f>
        <v>137.30000000000001</v>
      </c>
      <c r="D23" s="50" t="s">
        <v>105</v>
      </c>
      <c r="E23" s="53"/>
      <c r="F23" s="50"/>
      <c r="H23" s="55"/>
      <c r="I23" s="50"/>
      <c r="J23" s="142"/>
    </row>
    <row r="24" spans="1:19" s="280" customFormat="1" ht="21.95" customHeight="1" x14ac:dyDescent="0.25">
      <c r="A24" s="122"/>
      <c r="B24" s="24" t="s">
        <v>21</v>
      </c>
      <c r="C24" s="362" t="s">
        <v>535</v>
      </c>
      <c r="D24" s="362"/>
      <c r="E24" s="362"/>
      <c r="F24" s="362"/>
      <c r="G24" s="362"/>
      <c r="H24" s="362"/>
      <c r="I24" s="362"/>
    </row>
    <row r="25" spans="1:19" s="36" customFormat="1" ht="188.25" customHeight="1" x14ac:dyDescent="0.25">
      <c r="A25" s="281">
        <v>2</v>
      </c>
      <c r="B25" s="284" t="s">
        <v>73</v>
      </c>
      <c r="C25" s="366" t="s">
        <v>509</v>
      </c>
      <c r="D25" s="366"/>
      <c r="E25" s="366"/>
      <c r="F25" s="366"/>
      <c r="G25" s="366"/>
      <c r="H25" s="366"/>
      <c r="I25" s="366"/>
      <c r="J25" s="133"/>
      <c r="K25" s="133"/>
      <c r="L25" s="133"/>
      <c r="M25" s="59"/>
      <c r="N25" s="59"/>
      <c r="O25" s="59"/>
      <c r="P25" s="59"/>
      <c r="Q25" s="59"/>
      <c r="R25" s="59"/>
      <c r="S25" s="59"/>
    </row>
    <row r="26" spans="1:19" s="36" customFormat="1" ht="20.100000000000001" customHeight="1" x14ac:dyDescent="0.25">
      <c r="A26" s="281">
        <v>3</v>
      </c>
      <c r="B26" s="364" t="s">
        <v>82</v>
      </c>
      <c r="C26" s="364"/>
      <c r="D26" s="364"/>
      <c r="E26" s="364"/>
      <c r="F26" s="364"/>
      <c r="G26" s="282"/>
      <c r="H26" s="149" t="s">
        <v>112</v>
      </c>
      <c r="I26" s="282" t="s">
        <v>55</v>
      </c>
      <c r="J26" s="59"/>
      <c r="K26" s="142"/>
      <c r="L26" s="59"/>
      <c r="M26" s="59"/>
      <c r="N26" s="59"/>
      <c r="O26" s="59"/>
      <c r="P26" s="59"/>
      <c r="Q26" s="59"/>
      <c r="R26" s="59"/>
      <c r="S26" s="59"/>
    </row>
    <row r="27" spans="1:19" s="36" customFormat="1" ht="20.100000000000001" customHeight="1" x14ac:dyDescent="0.25">
      <c r="A27" s="281">
        <v>4</v>
      </c>
      <c r="B27" s="364" t="s">
        <v>65</v>
      </c>
      <c r="C27" s="364"/>
      <c r="D27" s="364"/>
      <c r="E27" s="364"/>
      <c r="F27" s="364"/>
      <c r="G27" s="364"/>
      <c r="H27" s="148" t="s">
        <v>128</v>
      </c>
      <c r="I27" s="282" t="s">
        <v>84</v>
      </c>
      <c r="J27" s="59"/>
      <c r="K27" s="59"/>
      <c r="L27" s="59"/>
      <c r="M27" s="59"/>
      <c r="N27" s="59"/>
      <c r="O27" s="59"/>
      <c r="P27" s="59"/>
      <c r="Q27" s="59"/>
      <c r="R27" s="59"/>
      <c r="S27" s="59"/>
    </row>
    <row r="28" spans="1:19" s="41" customFormat="1" x14ac:dyDescent="0.25">
      <c r="A28" s="281" t="s">
        <v>88</v>
      </c>
      <c r="B28" s="364" t="s">
        <v>87</v>
      </c>
      <c r="C28" s="364"/>
      <c r="D28" s="364"/>
      <c r="E28" s="364"/>
      <c r="F28" s="364"/>
      <c r="G28" s="364"/>
      <c r="H28" s="364"/>
      <c r="I28" s="364"/>
    </row>
    <row r="29" spans="1:19" s="40" customFormat="1" ht="20.25" customHeight="1" x14ac:dyDescent="0.25">
      <c r="A29" s="281" t="s">
        <v>4</v>
      </c>
      <c r="B29" s="360" t="s">
        <v>24</v>
      </c>
      <c r="C29" s="360"/>
      <c r="D29" s="360"/>
      <c r="E29" s="360"/>
      <c r="F29" s="360"/>
      <c r="G29" s="360"/>
      <c r="H29" s="360"/>
      <c r="I29" s="360"/>
      <c r="J29" s="41"/>
      <c r="K29" s="41"/>
      <c r="L29" s="41"/>
      <c r="M29" s="41"/>
      <c r="N29" s="41"/>
      <c r="O29" s="41"/>
      <c r="P29" s="41"/>
      <c r="Q29" s="41"/>
      <c r="R29" s="41"/>
      <c r="S29" s="41"/>
    </row>
    <row r="30" spans="1:19" s="24" customFormat="1" ht="32.25" customHeight="1" x14ac:dyDescent="0.25">
      <c r="A30" s="351" t="s">
        <v>25</v>
      </c>
      <c r="B30" s="353" t="s">
        <v>26</v>
      </c>
      <c r="C30" s="354"/>
      <c r="D30" s="354"/>
      <c r="E30" s="354"/>
      <c r="F30" s="354"/>
      <c r="G30" s="354"/>
      <c r="H30" s="354"/>
      <c r="I30" s="355"/>
    </row>
    <row r="31" spans="1:19" s="25" customFormat="1" ht="49.5" x14ac:dyDescent="0.25">
      <c r="A31" s="352"/>
      <c r="B31" s="353" t="s">
        <v>27</v>
      </c>
      <c r="C31" s="355"/>
      <c r="D31" s="21" t="s">
        <v>28</v>
      </c>
      <c r="E31" s="22" t="s">
        <v>29</v>
      </c>
      <c r="F31" s="22" t="s">
        <v>30</v>
      </c>
      <c r="G31" s="21" t="s">
        <v>31</v>
      </c>
      <c r="H31" s="22" t="s">
        <v>104</v>
      </c>
      <c r="I31" s="22" t="s">
        <v>33</v>
      </c>
    </row>
    <row r="32" spans="1:19" s="62" customFormat="1" ht="18.75" customHeight="1" x14ac:dyDescent="0.25">
      <c r="A32" s="61">
        <v>1</v>
      </c>
      <c r="B32" s="356">
        <v>2</v>
      </c>
      <c r="C32" s="357"/>
      <c r="D32" s="61">
        <v>3</v>
      </c>
      <c r="E32" s="61">
        <v>4</v>
      </c>
      <c r="F32" s="61">
        <v>5</v>
      </c>
      <c r="G32" s="61">
        <v>6</v>
      </c>
      <c r="H32" s="61">
        <v>7</v>
      </c>
      <c r="I32" s="61">
        <v>8</v>
      </c>
    </row>
    <row r="33" spans="1:9" s="68" customFormat="1" ht="39" customHeight="1" x14ac:dyDescent="0.25">
      <c r="A33" s="63">
        <v>1</v>
      </c>
      <c r="B33" s="358" t="s">
        <v>563</v>
      </c>
      <c r="C33" s="359"/>
      <c r="D33" s="64" t="s">
        <v>106</v>
      </c>
      <c r="E33" s="65">
        <f>C22</f>
        <v>103.2</v>
      </c>
      <c r="F33" s="63"/>
      <c r="G33" s="66"/>
      <c r="H33" s="166">
        <f>E33*F33*G33</f>
        <v>0</v>
      </c>
      <c r="I33" s="67"/>
    </row>
    <row r="34" spans="1:9" s="71" customFormat="1" ht="25.5" customHeight="1" x14ac:dyDescent="0.25">
      <c r="A34" s="69"/>
      <c r="B34" s="349" t="s">
        <v>34</v>
      </c>
      <c r="C34" s="350"/>
      <c r="D34" s="69"/>
      <c r="E34" s="69"/>
      <c r="F34" s="69"/>
      <c r="G34" s="69"/>
      <c r="H34" s="169">
        <f>SUM(H33:H33)</f>
        <v>0</v>
      </c>
      <c r="I34" s="69"/>
    </row>
    <row r="35" spans="1:9" ht="3.75" customHeight="1" x14ac:dyDescent="0.25">
      <c r="A35" s="77"/>
      <c r="B35" s="72"/>
      <c r="C35" s="72"/>
      <c r="D35" s="73"/>
      <c r="E35" s="73"/>
      <c r="F35" s="73"/>
      <c r="G35" s="73"/>
      <c r="H35" s="73"/>
      <c r="I35" s="73"/>
    </row>
    <row r="36" spans="1:9" ht="21" customHeight="1" x14ac:dyDescent="0.25">
      <c r="A36" s="75" t="s">
        <v>9</v>
      </c>
      <c r="B36" s="360" t="s">
        <v>35</v>
      </c>
      <c r="C36" s="360"/>
      <c r="D36" s="360"/>
      <c r="E36" s="360"/>
      <c r="F36" s="360"/>
      <c r="G36" s="360"/>
      <c r="H36" s="360"/>
      <c r="I36" s="360"/>
    </row>
    <row r="37" spans="1:9" s="288" customFormat="1" ht="49.5" x14ac:dyDescent="0.25">
      <c r="A37" s="29" t="s">
        <v>25</v>
      </c>
      <c r="B37" s="353" t="s">
        <v>27</v>
      </c>
      <c r="C37" s="355"/>
      <c r="D37" s="21" t="s">
        <v>28</v>
      </c>
      <c r="E37" s="22" t="s">
        <v>29</v>
      </c>
      <c r="F37" s="22" t="s">
        <v>30</v>
      </c>
      <c r="G37" s="21" t="s">
        <v>31</v>
      </c>
      <c r="H37" s="22" t="s">
        <v>32</v>
      </c>
      <c r="I37" s="22" t="s">
        <v>33</v>
      </c>
    </row>
    <row r="38" spans="1:9" s="62" customFormat="1" ht="18" customHeight="1" x14ac:dyDescent="0.25">
      <c r="A38" s="61">
        <v>1</v>
      </c>
      <c r="B38" s="356">
        <v>2</v>
      </c>
      <c r="C38" s="357"/>
      <c r="D38" s="61">
        <v>3</v>
      </c>
      <c r="E38" s="61">
        <v>4</v>
      </c>
      <c r="F38" s="61">
        <v>5</v>
      </c>
      <c r="G38" s="61">
        <v>6</v>
      </c>
      <c r="H38" s="61">
        <v>7</v>
      </c>
      <c r="I38" s="61">
        <v>8</v>
      </c>
    </row>
    <row r="39" spans="1:9" ht="32.25" customHeight="1" x14ac:dyDescent="0.25">
      <c r="A39" s="26">
        <v>1</v>
      </c>
      <c r="B39" s="353"/>
      <c r="C39" s="355"/>
      <c r="D39" s="27"/>
      <c r="E39" s="22"/>
      <c r="F39" s="27"/>
      <c r="G39" s="27"/>
      <c r="H39" s="27"/>
      <c r="I39" s="26" t="s">
        <v>36</v>
      </c>
    </row>
    <row r="40" spans="1:9" s="71" customFormat="1" ht="23.25" customHeight="1" x14ac:dyDescent="0.25">
      <c r="A40" s="69"/>
      <c r="B40" s="349" t="s">
        <v>34</v>
      </c>
      <c r="C40" s="350"/>
      <c r="D40" s="74"/>
      <c r="E40" s="69"/>
      <c r="F40" s="74"/>
      <c r="G40" s="74"/>
      <c r="H40" s="74"/>
      <c r="I40" s="69"/>
    </row>
    <row r="41" spans="1:9" ht="12" customHeight="1" x14ac:dyDescent="0.25">
      <c r="A41" s="124"/>
      <c r="B41" s="75"/>
      <c r="C41" s="75"/>
      <c r="D41" s="283"/>
      <c r="E41" s="75"/>
      <c r="F41" s="283"/>
      <c r="G41" s="283"/>
      <c r="H41" s="283"/>
      <c r="I41" s="75"/>
    </row>
    <row r="42" spans="1:9" x14ac:dyDescent="0.25">
      <c r="A42" s="324"/>
      <c r="B42" s="327" t="s">
        <v>37</v>
      </c>
      <c r="C42" s="328"/>
      <c r="D42" s="328"/>
      <c r="E42" s="328"/>
      <c r="F42" s="328"/>
      <c r="G42" s="329"/>
      <c r="H42" s="27"/>
      <c r="I42" s="26" t="s">
        <v>74</v>
      </c>
    </row>
    <row r="43" spans="1:9" x14ac:dyDescent="0.25">
      <c r="A43" s="325"/>
      <c r="B43" s="330" t="s">
        <v>38</v>
      </c>
      <c r="C43" s="331"/>
      <c r="D43" s="331"/>
      <c r="E43" s="331"/>
      <c r="F43" s="331"/>
      <c r="G43" s="332"/>
      <c r="H43" s="27"/>
      <c r="I43" s="26" t="s">
        <v>74</v>
      </c>
    </row>
    <row r="44" spans="1:9" x14ac:dyDescent="0.25">
      <c r="A44" s="326"/>
      <c r="B44" s="333" t="s">
        <v>39</v>
      </c>
      <c r="C44" s="334"/>
      <c r="D44" s="334"/>
      <c r="E44" s="334"/>
      <c r="F44" s="334"/>
      <c r="G44" s="335"/>
      <c r="H44" s="27"/>
      <c r="I44" s="26" t="s">
        <v>74</v>
      </c>
    </row>
    <row r="45" spans="1:9" ht="3.75" customHeight="1" x14ac:dyDescent="0.25">
      <c r="A45" s="77"/>
      <c r="B45" s="72"/>
      <c r="C45" s="72"/>
      <c r="D45" s="72"/>
      <c r="E45" s="78"/>
      <c r="F45" s="72"/>
      <c r="G45" s="72"/>
      <c r="H45" s="79"/>
      <c r="I45" s="79"/>
    </row>
    <row r="46" spans="1:9" ht="21" customHeight="1" x14ac:dyDescent="0.25">
      <c r="A46" s="125" t="s">
        <v>22</v>
      </c>
      <c r="B46" s="376" t="s">
        <v>40</v>
      </c>
      <c r="C46" s="376"/>
      <c r="D46" s="376"/>
      <c r="E46" s="376"/>
      <c r="F46" s="376"/>
      <c r="G46" s="376"/>
      <c r="H46" s="285"/>
      <c r="I46" s="81"/>
    </row>
    <row r="47" spans="1:9" s="30" customFormat="1" ht="49.5" x14ac:dyDescent="0.25">
      <c r="A47" s="21" t="s">
        <v>25</v>
      </c>
      <c r="B47" s="21" t="s">
        <v>41</v>
      </c>
      <c r="C47" s="21" t="s">
        <v>28</v>
      </c>
      <c r="D47" s="21" t="s">
        <v>42</v>
      </c>
      <c r="E47" s="21" t="s">
        <v>43</v>
      </c>
      <c r="F47" s="22" t="s">
        <v>30</v>
      </c>
      <c r="G47" s="21" t="s">
        <v>31</v>
      </c>
      <c r="H47" s="21" t="s">
        <v>45</v>
      </c>
      <c r="I47" s="21" t="s">
        <v>33</v>
      </c>
    </row>
    <row r="48" spans="1:9" s="83" customFormat="1" ht="18" customHeight="1" x14ac:dyDescent="0.25">
      <c r="A48" s="82">
        <v>1</v>
      </c>
      <c r="B48" s="82">
        <v>2</v>
      </c>
      <c r="C48" s="82">
        <v>3</v>
      </c>
      <c r="D48" s="82">
        <v>4</v>
      </c>
      <c r="E48" s="82">
        <v>5</v>
      </c>
      <c r="F48" s="82">
        <v>6</v>
      </c>
      <c r="G48" s="82">
        <v>7</v>
      </c>
      <c r="H48" s="82">
        <v>8</v>
      </c>
      <c r="I48" s="82">
        <v>9</v>
      </c>
    </row>
    <row r="49" spans="1:9" s="89" customFormat="1" ht="30" customHeight="1" x14ac:dyDescent="0.25">
      <c r="A49" s="21" t="s">
        <v>46</v>
      </c>
      <c r="B49" s="84" t="s">
        <v>47</v>
      </c>
      <c r="C49" s="85"/>
      <c r="D49" s="85"/>
      <c r="E49" s="86"/>
      <c r="F49" s="85"/>
      <c r="G49" s="85"/>
      <c r="H49" s="167">
        <f>SUM(H52:H60)</f>
        <v>0</v>
      </c>
      <c r="I49" s="88"/>
    </row>
    <row r="50" spans="1:9" s="89" customFormat="1" ht="24.95" customHeight="1" x14ac:dyDescent="0.25">
      <c r="A50" s="286">
        <v>1</v>
      </c>
      <c r="B50" s="186" t="s">
        <v>90</v>
      </c>
      <c r="C50" s="64" t="s">
        <v>106</v>
      </c>
      <c r="D50" s="96" t="s">
        <v>510</v>
      </c>
      <c r="E50" s="96">
        <f>(3.6+4.5)*8.8</f>
        <v>71.28</v>
      </c>
      <c r="F50" s="200"/>
      <c r="G50" s="200"/>
      <c r="H50" s="201"/>
      <c r="I50" s="91"/>
    </row>
    <row r="51" spans="1:9" s="89" customFormat="1" ht="24.95" customHeight="1" x14ac:dyDescent="0.25">
      <c r="A51" s="286">
        <v>2</v>
      </c>
      <c r="B51" s="186" t="s">
        <v>151</v>
      </c>
      <c r="C51" s="64" t="s">
        <v>106</v>
      </c>
      <c r="D51" s="96" t="s">
        <v>511</v>
      </c>
      <c r="E51" s="96">
        <f>4.5*8.8</f>
        <v>39.6</v>
      </c>
      <c r="F51" s="200"/>
      <c r="G51" s="200"/>
      <c r="H51" s="201"/>
      <c r="I51" s="91"/>
    </row>
    <row r="52" spans="1:9" s="89" customFormat="1" ht="70.150000000000006" customHeight="1" x14ac:dyDescent="0.25">
      <c r="A52" s="286">
        <v>3</v>
      </c>
      <c r="B52" s="91" t="s">
        <v>512</v>
      </c>
      <c r="C52" s="64" t="s">
        <v>106</v>
      </c>
      <c r="D52" s="96" t="s">
        <v>513</v>
      </c>
      <c r="E52" s="234">
        <f>7.9*4.4</f>
        <v>34.760000000000005</v>
      </c>
      <c r="F52" s="93"/>
      <c r="G52" s="93"/>
      <c r="H52" s="159"/>
      <c r="I52" s="347" t="s">
        <v>110</v>
      </c>
    </row>
    <row r="53" spans="1:9" s="89" customFormat="1" ht="34.5" customHeight="1" x14ac:dyDescent="0.25">
      <c r="A53" s="286"/>
      <c r="B53" s="132" t="s">
        <v>109</v>
      </c>
      <c r="C53" s="64" t="s">
        <v>106</v>
      </c>
      <c r="D53" s="96" t="s">
        <v>514</v>
      </c>
      <c r="E53" s="234">
        <v>27.01</v>
      </c>
      <c r="F53" s="93"/>
      <c r="G53" s="93"/>
      <c r="H53" s="159"/>
      <c r="I53" s="348"/>
    </row>
    <row r="54" spans="1:9" s="89" customFormat="1" ht="36" customHeight="1" x14ac:dyDescent="0.25">
      <c r="A54" s="286"/>
      <c r="B54" s="132" t="s">
        <v>120</v>
      </c>
      <c r="C54" s="64" t="s">
        <v>106</v>
      </c>
      <c r="D54" s="96"/>
      <c r="E54" s="234">
        <f>E52-E53</f>
        <v>7.7500000000000036</v>
      </c>
      <c r="F54" s="93"/>
      <c r="G54" s="93"/>
      <c r="H54" s="159"/>
      <c r="I54" s="348"/>
    </row>
    <row r="55" spans="1:9" s="89" customFormat="1" ht="24.95" customHeight="1" x14ac:dyDescent="0.25">
      <c r="A55" s="286" t="s">
        <v>131</v>
      </c>
      <c r="B55" s="132" t="s">
        <v>489</v>
      </c>
      <c r="C55" s="64" t="s">
        <v>106</v>
      </c>
      <c r="D55" s="96" t="s">
        <v>147</v>
      </c>
      <c r="E55" s="92">
        <f>E53</f>
        <v>27.01</v>
      </c>
      <c r="F55" s="93"/>
      <c r="G55" s="93"/>
      <c r="H55" s="159"/>
      <c r="I55" s="348"/>
    </row>
    <row r="56" spans="1:9" s="89" customFormat="1" ht="85.5" customHeight="1" x14ac:dyDescent="0.25">
      <c r="A56" s="286">
        <v>4</v>
      </c>
      <c r="B56" s="91" t="s">
        <v>515</v>
      </c>
      <c r="C56" s="64" t="s">
        <v>106</v>
      </c>
      <c r="D56" s="96" t="s">
        <v>513</v>
      </c>
      <c r="E56" s="234">
        <f>7.9*4.4</f>
        <v>34.760000000000005</v>
      </c>
      <c r="F56" s="93"/>
      <c r="G56" s="93"/>
      <c r="H56" s="159"/>
      <c r="I56" s="348"/>
    </row>
    <row r="57" spans="1:9" s="89" customFormat="1" ht="36" customHeight="1" x14ac:dyDescent="0.25">
      <c r="A57" s="286"/>
      <c r="B57" s="132" t="s">
        <v>109</v>
      </c>
      <c r="C57" s="64" t="s">
        <v>106</v>
      </c>
      <c r="D57" s="96" t="s">
        <v>516</v>
      </c>
      <c r="E57" s="234">
        <f>(6.1+6.02)/2*4.4</f>
        <v>26.664000000000001</v>
      </c>
      <c r="F57" s="93"/>
      <c r="G57" s="93"/>
      <c r="H57" s="159"/>
      <c r="I57" s="287"/>
    </row>
    <row r="58" spans="1:9" s="89" customFormat="1" ht="34.5" customHeight="1" x14ac:dyDescent="0.25">
      <c r="A58" s="286"/>
      <c r="B58" s="132" t="s">
        <v>120</v>
      </c>
      <c r="C58" s="64" t="s">
        <v>106</v>
      </c>
      <c r="D58" s="96"/>
      <c r="E58" s="234">
        <f>E56-E57</f>
        <v>8.0960000000000036</v>
      </c>
      <c r="F58" s="93"/>
      <c r="G58" s="93"/>
      <c r="H58" s="159"/>
      <c r="I58" s="287"/>
    </row>
    <row r="59" spans="1:9" s="89" customFormat="1" ht="33.6" customHeight="1" x14ac:dyDescent="0.25">
      <c r="A59" s="286" t="s">
        <v>131</v>
      </c>
      <c r="B59" s="132" t="s">
        <v>489</v>
      </c>
      <c r="C59" s="64" t="s">
        <v>106</v>
      </c>
      <c r="D59" s="96" t="s">
        <v>147</v>
      </c>
      <c r="E59" s="92">
        <f>E57</f>
        <v>26.664000000000001</v>
      </c>
      <c r="F59" s="93"/>
      <c r="G59" s="93"/>
      <c r="H59" s="159"/>
      <c r="I59" s="287"/>
    </row>
    <row r="60" spans="1:9" s="89" customFormat="1" ht="25.9" customHeight="1" x14ac:dyDescent="0.25">
      <c r="A60" s="286">
        <v>5</v>
      </c>
      <c r="B60" s="132" t="s">
        <v>95</v>
      </c>
      <c r="C60" s="64" t="s">
        <v>490</v>
      </c>
      <c r="D60" s="96" t="s">
        <v>517</v>
      </c>
      <c r="E60" s="92">
        <v>9</v>
      </c>
      <c r="F60" s="93"/>
      <c r="G60" s="93"/>
      <c r="H60" s="159"/>
      <c r="I60" s="287"/>
    </row>
    <row r="61" spans="1:9" s="89" customFormat="1" ht="25.5" customHeight="1" x14ac:dyDescent="0.25">
      <c r="A61" s="21" t="s">
        <v>48</v>
      </c>
      <c r="B61" s="84" t="s">
        <v>49</v>
      </c>
      <c r="C61" s="85"/>
      <c r="D61" s="85"/>
      <c r="E61" s="92"/>
      <c r="F61" s="85"/>
      <c r="G61" s="85"/>
      <c r="H61" s="167">
        <f>SUM(H62:H62)</f>
        <v>0</v>
      </c>
      <c r="I61" s="95"/>
    </row>
    <row r="62" spans="1:9" s="89" customFormat="1" ht="24" customHeight="1" x14ac:dyDescent="0.25">
      <c r="A62" s="286"/>
      <c r="B62" s="186"/>
      <c r="C62" s="200"/>
      <c r="D62" s="286"/>
      <c r="E62" s="92"/>
      <c r="F62" s="85"/>
      <c r="G62" s="85"/>
      <c r="H62" s="201"/>
      <c r="I62" s="289"/>
    </row>
    <row r="63" spans="1:9" s="102" customFormat="1" ht="24.75" customHeight="1" x14ac:dyDescent="0.25">
      <c r="A63" s="126"/>
      <c r="B63" s="100" t="s">
        <v>50</v>
      </c>
      <c r="C63" s="100"/>
      <c r="D63" s="100"/>
      <c r="E63" s="100"/>
      <c r="F63" s="100"/>
      <c r="G63" s="100"/>
      <c r="H63" s="158">
        <f>H49+H61</f>
        <v>0</v>
      </c>
      <c r="I63" s="101"/>
    </row>
    <row r="64" spans="1:9" ht="22.5" customHeight="1" x14ac:dyDescent="0.25">
      <c r="A64" s="127">
        <v>4</v>
      </c>
      <c r="B64" s="337" t="s">
        <v>51</v>
      </c>
      <c r="C64" s="337"/>
      <c r="D64" s="337"/>
      <c r="E64" s="337"/>
      <c r="F64" s="337"/>
      <c r="G64" s="337"/>
      <c r="H64" s="51"/>
      <c r="I64" s="51"/>
    </row>
    <row r="65" spans="1:12" s="104" customFormat="1" ht="49.5" x14ac:dyDescent="0.25">
      <c r="A65" s="103" t="s">
        <v>25</v>
      </c>
      <c r="B65" s="338" t="s">
        <v>52</v>
      </c>
      <c r="C65" s="339"/>
      <c r="D65" s="21" t="s">
        <v>29</v>
      </c>
      <c r="E65" s="21" t="s">
        <v>53</v>
      </c>
      <c r="F65" s="21" t="s">
        <v>44</v>
      </c>
      <c r="G65" s="21" t="s">
        <v>54</v>
      </c>
      <c r="H65" s="21" t="s">
        <v>45</v>
      </c>
      <c r="I65" s="21" t="s">
        <v>33</v>
      </c>
    </row>
    <row r="66" spans="1:12" ht="24" customHeight="1" x14ac:dyDescent="0.25">
      <c r="A66" s="105"/>
      <c r="B66" s="340"/>
      <c r="C66" s="341"/>
      <c r="D66" s="106"/>
      <c r="E66" s="105"/>
      <c r="F66" s="107"/>
      <c r="G66" s="108"/>
      <c r="H66" s="108"/>
      <c r="I66" s="109"/>
      <c r="L66" s="110"/>
    </row>
    <row r="67" spans="1:12" s="112" customFormat="1" ht="21.75" customHeight="1" x14ac:dyDescent="0.25">
      <c r="A67" s="126"/>
      <c r="B67" s="342" t="s">
        <v>34</v>
      </c>
      <c r="C67" s="343"/>
      <c r="D67" s="100"/>
      <c r="E67" s="100"/>
      <c r="F67" s="100"/>
      <c r="G67" s="100"/>
      <c r="H67" s="163">
        <f>SUM(H66)</f>
        <v>0</v>
      </c>
      <c r="I67" s="111"/>
      <c r="L67" s="113"/>
    </row>
    <row r="68" spans="1:12" s="115" customFormat="1" ht="27.75" customHeight="1" x14ac:dyDescent="0.25">
      <c r="A68" s="128">
        <v>5</v>
      </c>
      <c r="B68" s="344" t="s">
        <v>56</v>
      </c>
      <c r="C68" s="344"/>
      <c r="D68" s="344"/>
      <c r="E68" s="344"/>
      <c r="F68" s="344"/>
      <c r="G68" s="345"/>
      <c r="H68" s="164">
        <f>H67+H63+H40+H34</f>
        <v>0</v>
      </c>
      <c r="I68" s="114" t="s">
        <v>57</v>
      </c>
    </row>
    <row r="69" spans="1:12" s="117" customFormat="1" ht="15.75" customHeight="1" x14ac:dyDescent="0.25">
      <c r="A69" s="129"/>
      <c r="B69" s="116" t="s">
        <v>78</v>
      </c>
      <c r="C69" s="346" t="s">
        <v>91</v>
      </c>
      <c r="D69" s="346"/>
      <c r="E69" s="346"/>
      <c r="F69" s="346"/>
      <c r="G69" s="346"/>
      <c r="H69" s="346"/>
      <c r="I69" s="346"/>
    </row>
    <row r="70" spans="1:12" s="41" customFormat="1" ht="17.25" hidden="1" x14ac:dyDescent="0.3">
      <c r="A70" s="281"/>
      <c r="B70" s="118"/>
      <c r="E70" s="119"/>
      <c r="F70" s="316" t="s">
        <v>75</v>
      </c>
      <c r="G70" s="316"/>
      <c r="H70" s="316"/>
      <c r="I70" s="316"/>
    </row>
    <row r="71" spans="1:12" hidden="1" x14ac:dyDescent="0.25">
      <c r="F71" s="316" t="s">
        <v>76</v>
      </c>
      <c r="G71" s="316"/>
      <c r="H71" s="316"/>
      <c r="I71" s="316"/>
    </row>
    <row r="72" spans="1:12" hidden="1" x14ac:dyDescent="0.25">
      <c r="F72" s="317"/>
      <c r="G72" s="317"/>
      <c r="H72" s="317"/>
      <c r="I72" s="317"/>
    </row>
    <row r="73" spans="1:12" hidden="1" x14ac:dyDescent="0.25"/>
    <row r="74" spans="1:12" hidden="1" x14ac:dyDescent="0.25"/>
    <row r="75" spans="1:12" hidden="1" x14ac:dyDescent="0.25"/>
    <row r="76" spans="1:12" hidden="1" x14ac:dyDescent="0.25"/>
    <row r="77" spans="1:12" hidden="1" x14ac:dyDescent="0.25"/>
    <row r="78" spans="1:12" hidden="1" x14ac:dyDescent="0.25">
      <c r="F78" s="318" t="s">
        <v>77</v>
      </c>
      <c r="G78" s="318"/>
      <c r="H78" s="318"/>
      <c r="I78" s="318"/>
    </row>
    <row r="79" spans="1:12" ht="65.25" customHeight="1" x14ac:dyDescent="0.25">
      <c r="A79" s="319" t="s">
        <v>100</v>
      </c>
      <c r="B79" s="319"/>
      <c r="C79" s="319"/>
      <c r="D79" s="319"/>
      <c r="E79" s="319"/>
      <c r="F79" s="319"/>
      <c r="G79" s="319"/>
      <c r="H79" s="319"/>
      <c r="I79" s="319"/>
    </row>
    <row r="80" spans="1:12" x14ac:dyDescent="0.25">
      <c r="A80" s="315" t="s">
        <v>102</v>
      </c>
      <c r="B80" s="315"/>
      <c r="C80" s="315"/>
      <c r="D80" s="315"/>
      <c r="E80" s="315"/>
      <c r="F80" s="315"/>
      <c r="G80" s="315"/>
      <c r="H80" s="315"/>
      <c r="I80" s="315"/>
    </row>
    <row r="81" spans="1:9" x14ac:dyDescent="0.25">
      <c r="A81" s="320" t="s">
        <v>107</v>
      </c>
      <c r="B81" s="320"/>
      <c r="C81" s="320"/>
      <c r="D81" s="321"/>
      <c r="E81" s="322" t="s">
        <v>108</v>
      </c>
      <c r="F81" s="323"/>
      <c r="G81" s="323"/>
      <c r="H81" s="323"/>
      <c r="I81" s="323"/>
    </row>
    <row r="82" spans="1:9" x14ac:dyDescent="0.25">
      <c r="A82" s="320"/>
      <c r="B82" s="320"/>
      <c r="C82" s="320"/>
      <c r="D82" s="321"/>
      <c r="E82" s="322"/>
      <c r="F82" s="323"/>
      <c r="G82" s="323"/>
      <c r="H82" s="323"/>
      <c r="I82" s="323"/>
    </row>
    <row r="83" spans="1:9" x14ac:dyDescent="0.25">
      <c r="A83" s="320"/>
      <c r="B83" s="320"/>
      <c r="C83" s="320"/>
      <c r="D83" s="321"/>
      <c r="E83" s="38"/>
      <c r="I83" s="20"/>
    </row>
    <row r="84" spans="1:9" x14ac:dyDescent="0.25">
      <c r="A84" s="315" t="s">
        <v>101</v>
      </c>
      <c r="B84" s="315"/>
      <c r="C84" s="315"/>
      <c r="D84" s="315"/>
      <c r="E84" s="315"/>
      <c r="F84" s="315"/>
      <c r="G84" s="315"/>
      <c r="H84" s="315"/>
      <c r="I84" s="315"/>
    </row>
  </sheetData>
  <mergeCells count="57">
    <mergeCell ref="A81:D83"/>
    <mergeCell ref="E81:I82"/>
    <mergeCell ref="A84:I84"/>
    <mergeCell ref="F70:I70"/>
    <mergeCell ref="F71:I71"/>
    <mergeCell ref="F72:I72"/>
    <mergeCell ref="F78:I78"/>
    <mergeCell ref="A79:I79"/>
    <mergeCell ref="A80:I80"/>
    <mergeCell ref="C69:I69"/>
    <mergeCell ref="A42:A44"/>
    <mergeCell ref="B42:G42"/>
    <mergeCell ref="B43:G43"/>
    <mergeCell ref="B44:G44"/>
    <mergeCell ref="B46:G46"/>
    <mergeCell ref="I52:I56"/>
    <mergeCell ref="B64:G64"/>
    <mergeCell ref="B65:C65"/>
    <mergeCell ref="B66:C66"/>
    <mergeCell ref="B67:C67"/>
    <mergeCell ref="B68:G68"/>
    <mergeCell ref="B40:C40"/>
    <mergeCell ref="B29:I29"/>
    <mergeCell ref="A30:A31"/>
    <mergeCell ref="B30:I30"/>
    <mergeCell ref="B31:C31"/>
    <mergeCell ref="B32:C32"/>
    <mergeCell ref="B33:C33"/>
    <mergeCell ref="B34:C34"/>
    <mergeCell ref="B36:I36"/>
    <mergeCell ref="B37:C37"/>
    <mergeCell ref="B38:C38"/>
    <mergeCell ref="B39:C39"/>
    <mergeCell ref="B28:I28"/>
    <mergeCell ref="C10:I10"/>
    <mergeCell ref="C11:I11"/>
    <mergeCell ref="F13:I13"/>
    <mergeCell ref="C14:I14"/>
    <mergeCell ref="C15:I15"/>
    <mergeCell ref="B17:I17"/>
    <mergeCell ref="D19:E19"/>
    <mergeCell ref="C24:I24"/>
    <mergeCell ref="C25:I25"/>
    <mergeCell ref="B26:F26"/>
    <mergeCell ref="B27:G27"/>
    <mergeCell ref="A5:I5"/>
    <mergeCell ref="A6:I6"/>
    <mergeCell ref="A7:I7"/>
    <mergeCell ref="B8:I8"/>
    <mergeCell ref="B9:E9"/>
    <mergeCell ref="F9:I9"/>
    <mergeCell ref="A1:D1"/>
    <mergeCell ref="E1:I1"/>
    <mergeCell ref="A2:D2"/>
    <mergeCell ref="E2:I2"/>
    <mergeCell ref="A4:C4"/>
    <mergeCell ref="E4:I4"/>
  </mergeCells>
  <printOptions horizontalCentered="1"/>
  <pageMargins left="0.15748031496062992" right="0.15748031496062992" top="0.19685039370078741" bottom="0.15748031496062992" header="0.19685039370078741" footer="0.15748031496062992"/>
  <pageSetup paperSize="9" scale="80" orientation="portrait" r:id="rId1"/>
  <drawing r:id="rId2"/>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77"/>
  <sheetViews>
    <sheetView topLeftCell="A28" workbookViewId="0">
      <selection activeCell="B33" sqref="B33:C33"/>
    </sheetView>
  </sheetViews>
  <sheetFormatPr defaultColWidth="9.140625" defaultRowHeight="16.5" x14ac:dyDescent="0.25"/>
  <cols>
    <col min="1" max="1" width="4.28515625" style="68" customWidth="1"/>
    <col min="2" max="2" width="27.28515625" style="20" customWidth="1"/>
    <col min="3" max="3" width="8.7109375" style="20" customWidth="1"/>
    <col min="4" max="4" width="19.28515625" style="20" customWidth="1"/>
    <col min="5" max="5" width="9.7109375" style="288" customWidth="1"/>
    <col min="6" max="6" width="11.5703125" style="20" customWidth="1"/>
    <col min="7" max="7" width="9.42578125" style="20" customWidth="1"/>
    <col min="8" max="8" width="13.85546875" style="20" customWidth="1"/>
    <col min="9" max="9" width="14" style="120" customWidth="1"/>
    <col min="10" max="11" width="9.140625" style="20"/>
    <col min="12" max="12" width="11.42578125" style="20" customWidth="1"/>
    <col min="13" max="16384" width="9.140625" style="20"/>
  </cols>
  <sheetData>
    <row r="1" spans="1:17" s="36" customFormat="1" x14ac:dyDescent="0.25">
      <c r="A1" s="368" t="s">
        <v>98</v>
      </c>
      <c r="B1" s="368"/>
      <c r="C1" s="368"/>
      <c r="D1" s="368"/>
      <c r="E1" s="368" t="s">
        <v>0</v>
      </c>
      <c r="F1" s="368"/>
      <c r="G1" s="368"/>
      <c r="H1" s="368"/>
      <c r="I1" s="368"/>
    </row>
    <row r="2" spans="1:17" s="36" customFormat="1" x14ac:dyDescent="0.25">
      <c r="A2" s="369" t="s">
        <v>99</v>
      </c>
      <c r="B2" s="369"/>
      <c r="C2" s="369"/>
      <c r="D2" s="369"/>
      <c r="E2" s="369" t="s">
        <v>1</v>
      </c>
      <c r="F2" s="368"/>
      <c r="G2" s="368"/>
      <c r="H2" s="368"/>
      <c r="I2" s="368"/>
    </row>
    <row r="3" spans="1:17" s="36" customFormat="1" ht="16.899999999999999" customHeight="1" x14ac:dyDescent="0.25">
      <c r="A3" s="281"/>
      <c r="C3" s="281"/>
      <c r="D3" s="281"/>
      <c r="E3" s="281"/>
      <c r="F3" s="281"/>
      <c r="G3" s="281"/>
      <c r="H3" s="281"/>
      <c r="I3" s="37"/>
    </row>
    <row r="4" spans="1:17" s="36" customFormat="1" ht="23.25" customHeight="1" x14ac:dyDescent="0.25">
      <c r="A4" s="369" t="s">
        <v>89</v>
      </c>
      <c r="B4" s="369"/>
      <c r="C4" s="369"/>
      <c r="E4" s="370" t="s">
        <v>185</v>
      </c>
      <c r="F4" s="370"/>
      <c r="G4" s="370"/>
      <c r="H4" s="370"/>
      <c r="I4" s="370"/>
    </row>
    <row r="5" spans="1:17" s="40" customFormat="1" ht="25.5" customHeight="1" x14ac:dyDescent="0.25">
      <c r="A5" s="371" t="s">
        <v>85</v>
      </c>
      <c r="B5" s="371"/>
      <c r="C5" s="371"/>
      <c r="D5" s="371"/>
      <c r="E5" s="371"/>
      <c r="F5" s="371"/>
      <c r="G5" s="371"/>
      <c r="H5" s="371"/>
      <c r="I5" s="371"/>
    </row>
    <row r="6" spans="1:17" s="40" customFormat="1" ht="39.75" customHeight="1" x14ac:dyDescent="0.25">
      <c r="A6" s="372" t="s">
        <v>86</v>
      </c>
      <c r="B6" s="372"/>
      <c r="C6" s="372"/>
      <c r="D6" s="372"/>
      <c r="E6" s="372"/>
      <c r="F6" s="372"/>
      <c r="G6" s="372"/>
      <c r="H6" s="372"/>
      <c r="I6" s="372"/>
      <c r="Q6" s="41"/>
    </row>
    <row r="7" spans="1:17" s="40" customFormat="1" ht="21" customHeight="1" x14ac:dyDescent="0.25">
      <c r="A7" s="373" t="s">
        <v>207</v>
      </c>
      <c r="B7" s="373"/>
      <c r="C7" s="373"/>
      <c r="D7" s="373"/>
      <c r="E7" s="373"/>
      <c r="F7" s="373"/>
      <c r="G7" s="373"/>
      <c r="H7" s="373"/>
      <c r="I7" s="373"/>
    </row>
    <row r="8" spans="1:17" s="280" customFormat="1" ht="19.899999999999999" customHeight="1" x14ac:dyDescent="0.25">
      <c r="A8" s="279" t="s">
        <v>2</v>
      </c>
      <c r="B8" s="362" t="s">
        <v>3</v>
      </c>
      <c r="C8" s="362"/>
      <c r="D8" s="362"/>
      <c r="E8" s="362"/>
      <c r="F8" s="362"/>
      <c r="G8" s="362"/>
      <c r="H8" s="362"/>
      <c r="I8" s="362"/>
    </row>
    <row r="9" spans="1:17" s="280" customFormat="1" ht="19.899999999999999" customHeight="1" x14ac:dyDescent="0.25">
      <c r="A9" s="279" t="s">
        <v>4</v>
      </c>
      <c r="B9" s="374" t="s">
        <v>5</v>
      </c>
      <c r="C9" s="374"/>
      <c r="D9" s="374"/>
      <c r="E9" s="374"/>
      <c r="F9" s="365" t="s">
        <v>518</v>
      </c>
      <c r="G9" s="365"/>
      <c r="H9" s="365"/>
      <c r="I9" s="365"/>
    </row>
    <row r="10" spans="1:17" s="280" customFormat="1" ht="19.899999999999999" customHeight="1" x14ac:dyDescent="0.25">
      <c r="A10" s="122"/>
      <c r="B10" s="24" t="s">
        <v>6</v>
      </c>
      <c r="C10" s="365" t="s">
        <v>507</v>
      </c>
      <c r="D10" s="365"/>
      <c r="E10" s="365"/>
      <c r="F10" s="365"/>
      <c r="G10" s="365"/>
      <c r="H10" s="365"/>
      <c r="I10" s="365"/>
    </row>
    <row r="11" spans="1:17" s="280" customFormat="1" ht="19.899999999999999" customHeight="1" x14ac:dyDescent="0.25">
      <c r="A11" s="122"/>
      <c r="B11" s="24" t="s">
        <v>7</v>
      </c>
      <c r="C11" s="365" t="s">
        <v>507</v>
      </c>
      <c r="D11" s="365"/>
      <c r="E11" s="365"/>
      <c r="F11" s="365"/>
      <c r="G11" s="365"/>
      <c r="H11" s="365"/>
      <c r="I11" s="365"/>
    </row>
    <row r="12" spans="1:17" s="280" customFormat="1" ht="19.899999999999999" customHeight="1" x14ac:dyDescent="0.25">
      <c r="A12" s="122"/>
      <c r="B12" s="24" t="s">
        <v>11</v>
      </c>
      <c r="C12" s="233" t="s">
        <v>519</v>
      </c>
      <c r="D12" s="233"/>
      <c r="E12" s="233"/>
      <c r="F12" s="43"/>
      <c r="G12" s="43"/>
      <c r="H12" s="43"/>
      <c r="I12" s="43"/>
    </row>
    <row r="13" spans="1:17" s="280" customFormat="1" ht="19.899999999999999" customHeight="1" x14ac:dyDescent="0.25">
      <c r="A13" s="279" t="s">
        <v>9</v>
      </c>
      <c r="B13" s="44" t="s">
        <v>10</v>
      </c>
      <c r="E13" s="43"/>
      <c r="F13" s="362" t="str">
        <f>F9</f>
        <v>Nguyễn Văn Sang - Cấn Thị Hồng</v>
      </c>
      <c r="G13" s="362"/>
      <c r="H13" s="362"/>
      <c r="I13" s="362"/>
      <c r="J13" s="143"/>
    </row>
    <row r="14" spans="1:17" s="280" customFormat="1" ht="19.899999999999999" customHeight="1" x14ac:dyDescent="0.25">
      <c r="A14" s="122"/>
      <c r="B14" s="24" t="s">
        <v>6</v>
      </c>
      <c r="C14" s="365" t="str">
        <f>+C10</f>
        <v>Thôn Yên Kiện Đồi - Xã Phú Nghĩa - TP Hà Nội</v>
      </c>
      <c r="D14" s="365"/>
      <c r="E14" s="365"/>
      <c r="F14" s="365"/>
      <c r="G14" s="365"/>
      <c r="H14" s="365"/>
      <c r="I14" s="365"/>
    </row>
    <row r="15" spans="1:17" s="280" customFormat="1" ht="19.899999999999999" customHeight="1" x14ac:dyDescent="0.25">
      <c r="A15" s="122"/>
      <c r="B15" s="24" t="s">
        <v>7</v>
      </c>
      <c r="C15" s="365" t="str">
        <f>C11</f>
        <v>Thôn Yên Kiện Đồi - Xã Phú Nghĩa - TP Hà Nội</v>
      </c>
      <c r="D15" s="365"/>
      <c r="E15" s="365"/>
      <c r="F15" s="365"/>
      <c r="G15" s="365"/>
      <c r="H15" s="365"/>
      <c r="I15" s="365"/>
    </row>
    <row r="16" spans="1:17" s="280" customFormat="1" ht="19.899999999999999" customHeight="1" x14ac:dyDescent="0.25">
      <c r="A16" s="122"/>
      <c r="B16" s="24" t="s">
        <v>11</v>
      </c>
      <c r="C16" s="233" t="str">
        <f>+C12</f>
        <v>001080023112</v>
      </c>
      <c r="D16" s="233"/>
      <c r="E16" s="233"/>
      <c r="F16" s="43"/>
      <c r="G16" s="43"/>
      <c r="H16" s="43"/>
      <c r="I16" s="43"/>
    </row>
    <row r="17" spans="1:19" s="280" customFormat="1" ht="19.899999999999999" customHeight="1" x14ac:dyDescent="0.25">
      <c r="A17" s="279" t="s">
        <v>12</v>
      </c>
      <c r="B17" s="362" t="s">
        <v>13</v>
      </c>
      <c r="C17" s="362"/>
      <c r="D17" s="362"/>
      <c r="E17" s="362"/>
      <c r="F17" s="362"/>
      <c r="G17" s="362"/>
      <c r="H17" s="362"/>
      <c r="I17" s="362"/>
    </row>
    <row r="18" spans="1:19" s="280" customFormat="1" ht="19.899999999999999" customHeight="1" x14ac:dyDescent="0.25">
      <c r="A18" s="279" t="s">
        <v>4</v>
      </c>
      <c r="B18" s="46" t="s">
        <v>14</v>
      </c>
      <c r="E18" s="43"/>
    </row>
    <row r="19" spans="1:19" s="51" customFormat="1" ht="19.899999999999999" customHeight="1" x14ac:dyDescent="0.25">
      <c r="A19" s="123"/>
      <c r="B19" s="47" t="s">
        <v>15</v>
      </c>
      <c r="C19" s="144">
        <v>26</v>
      </c>
      <c r="D19" s="363" t="s">
        <v>16</v>
      </c>
      <c r="E19" s="363"/>
      <c r="F19" s="49" t="s">
        <v>132</v>
      </c>
      <c r="G19" s="50"/>
      <c r="I19" s="50"/>
    </row>
    <row r="20" spans="1:19" s="51" customFormat="1" ht="19.899999999999999" customHeight="1" x14ac:dyDescent="0.25">
      <c r="A20" s="123"/>
      <c r="B20" s="47" t="s">
        <v>17</v>
      </c>
      <c r="C20" s="52">
        <v>239.1</v>
      </c>
      <c r="D20" s="50" t="s">
        <v>105</v>
      </c>
      <c r="E20" s="53"/>
      <c r="F20" s="54"/>
      <c r="H20" s="55"/>
      <c r="I20" s="50"/>
    </row>
    <row r="21" spans="1:19" s="51" customFormat="1" ht="19.899999999999999" customHeight="1" x14ac:dyDescent="0.25">
      <c r="A21" s="123"/>
      <c r="B21" s="56" t="s">
        <v>18</v>
      </c>
      <c r="C21" s="57"/>
      <c r="D21" s="50"/>
      <c r="E21" s="53"/>
      <c r="F21" s="50"/>
      <c r="H21" s="55"/>
      <c r="I21" s="50"/>
    </row>
    <row r="22" spans="1:19" s="51" customFormat="1" ht="19.899999999999999" customHeight="1" x14ac:dyDescent="0.25">
      <c r="A22" s="123"/>
      <c r="B22" s="47" t="s">
        <v>19</v>
      </c>
      <c r="C22" s="52">
        <v>102.6</v>
      </c>
      <c r="D22" s="50" t="s">
        <v>105</v>
      </c>
      <c r="E22" s="53"/>
      <c r="F22" s="50"/>
      <c r="H22" s="55"/>
      <c r="I22" s="50"/>
      <c r="J22" s="133"/>
    </row>
    <row r="23" spans="1:19" s="51" customFormat="1" ht="19.899999999999999" customHeight="1" x14ac:dyDescent="0.25">
      <c r="A23" s="123"/>
      <c r="B23" s="47" t="s">
        <v>20</v>
      </c>
      <c r="C23" s="57">
        <f>C20-C22</f>
        <v>136.5</v>
      </c>
      <c r="D23" s="50" t="s">
        <v>105</v>
      </c>
      <c r="E23" s="53"/>
      <c r="F23" s="50"/>
      <c r="H23" s="55"/>
      <c r="I23" s="50"/>
      <c r="J23" s="142"/>
    </row>
    <row r="24" spans="1:19" s="280" customFormat="1" ht="22.5" customHeight="1" x14ac:dyDescent="0.25">
      <c r="A24" s="122"/>
      <c r="B24" s="24" t="s">
        <v>21</v>
      </c>
      <c r="C24" s="362" t="s">
        <v>535</v>
      </c>
      <c r="D24" s="362"/>
      <c r="E24" s="362"/>
      <c r="F24" s="362"/>
      <c r="G24" s="362"/>
      <c r="H24" s="362"/>
      <c r="I24" s="362"/>
    </row>
    <row r="25" spans="1:19" s="36" customFormat="1" ht="217.5" customHeight="1" x14ac:dyDescent="0.25">
      <c r="A25" s="281">
        <v>2</v>
      </c>
      <c r="B25" s="284" t="s">
        <v>73</v>
      </c>
      <c r="C25" s="366" t="s">
        <v>520</v>
      </c>
      <c r="D25" s="366"/>
      <c r="E25" s="366"/>
      <c r="F25" s="366"/>
      <c r="G25" s="366"/>
      <c r="H25" s="366"/>
      <c r="I25" s="366"/>
      <c r="J25" s="133"/>
      <c r="K25" s="133"/>
      <c r="L25" s="133"/>
      <c r="M25" s="59"/>
      <c r="N25" s="59"/>
      <c r="O25" s="59"/>
      <c r="P25" s="59"/>
      <c r="Q25" s="59"/>
      <c r="R25" s="59"/>
      <c r="S25" s="59"/>
    </row>
    <row r="26" spans="1:19" s="36" customFormat="1" ht="21" customHeight="1" x14ac:dyDescent="0.25">
      <c r="A26" s="281">
        <v>3</v>
      </c>
      <c r="B26" s="364" t="s">
        <v>82</v>
      </c>
      <c r="C26" s="364"/>
      <c r="D26" s="364"/>
      <c r="E26" s="364"/>
      <c r="F26" s="364"/>
      <c r="G26" s="282"/>
      <c r="H26" s="149" t="s">
        <v>112</v>
      </c>
      <c r="I26" s="282" t="s">
        <v>55</v>
      </c>
      <c r="J26" s="59"/>
      <c r="K26" s="142"/>
      <c r="L26" s="142"/>
      <c r="M26" s="59"/>
      <c r="N26" s="59"/>
      <c r="O26" s="59"/>
      <c r="P26" s="59"/>
      <c r="Q26" s="59"/>
      <c r="R26" s="59"/>
      <c r="S26" s="59"/>
    </row>
    <row r="27" spans="1:19" s="36" customFormat="1" ht="23.25" customHeight="1" x14ac:dyDescent="0.25">
      <c r="A27" s="281">
        <v>4</v>
      </c>
      <c r="B27" s="364" t="s">
        <v>65</v>
      </c>
      <c r="C27" s="364"/>
      <c r="D27" s="364"/>
      <c r="E27" s="364"/>
      <c r="F27" s="364"/>
      <c r="G27" s="364"/>
      <c r="H27" s="148" t="s">
        <v>119</v>
      </c>
      <c r="I27" s="282" t="s">
        <v>84</v>
      </c>
      <c r="J27" s="59"/>
      <c r="K27" s="59"/>
      <c r="L27" s="59"/>
      <c r="M27" s="59"/>
      <c r="N27" s="59"/>
      <c r="O27" s="59"/>
      <c r="P27" s="59"/>
      <c r="Q27" s="59"/>
      <c r="R27" s="59"/>
      <c r="S27" s="59"/>
    </row>
    <row r="28" spans="1:19" s="41" customFormat="1" x14ac:dyDescent="0.25">
      <c r="A28" s="281" t="s">
        <v>88</v>
      </c>
      <c r="B28" s="364" t="s">
        <v>87</v>
      </c>
      <c r="C28" s="364"/>
      <c r="D28" s="364"/>
      <c r="E28" s="364"/>
      <c r="F28" s="364"/>
      <c r="G28" s="364"/>
      <c r="H28" s="364"/>
      <c r="I28" s="364"/>
    </row>
    <row r="29" spans="1:19" s="40" customFormat="1" ht="20.25" customHeight="1" x14ac:dyDescent="0.25">
      <c r="A29" s="281" t="s">
        <v>4</v>
      </c>
      <c r="B29" s="360" t="s">
        <v>24</v>
      </c>
      <c r="C29" s="360"/>
      <c r="D29" s="360"/>
      <c r="E29" s="360"/>
      <c r="F29" s="360"/>
      <c r="G29" s="360"/>
      <c r="H29" s="360"/>
      <c r="I29" s="360"/>
      <c r="J29" s="41"/>
      <c r="K29" s="41"/>
      <c r="L29" s="41"/>
      <c r="M29" s="41"/>
      <c r="N29" s="41"/>
      <c r="O29" s="41"/>
      <c r="P29" s="41"/>
      <c r="Q29" s="41"/>
      <c r="R29" s="41"/>
      <c r="S29" s="41"/>
    </row>
    <row r="30" spans="1:19" s="24" customFormat="1" ht="32.25" customHeight="1" x14ac:dyDescent="0.25">
      <c r="A30" s="351" t="s">
        <v>25</v>
      </c>
      <c r="B30" s="353" t="s">
        <v>26</v>
      </c>
      <c r="C30" s="354"/>
      <c r="D30" s="354"/>
      <c r="E30" s="354"/>
      <c r="F30" s="354"/>
      <c r="G30" s="354"/>
      <c r="H30" s="354"/>
      <c r="I30" s="355"/>
    </row>
    <row r="31" spans="1:19" s="25" customFormat="1" ht="49.5" x14ac:dyDescent="0.25">
      <c r="A31" s="352"/>
      <c r="B31" s="353" t="s">
        <v>27</v>
      </c>
      <c r="C31" s="355"/>
      <c r="D31" s="21" t="s">
        <v>28</v>
      </c>
      <c r="E31" s="22" t="s">
        <v>29</v>
      </c>
      <c r="F31" s="22" t="s">
        <v>30</v>
      </c>
      <c r="G31" s="21" t="s">
        <v>31</v>
      </c>
      <c r="H31" s="22" t="s">
        <v>104</v>
      </c>
      <c r="I31" s="22" t="s">
        <v>33</v>
      </c>
    </row>
    <row r="32" spans="1:19" s="62" customFormat="1" ht="18.75" customHeight="1" x14ac:dyDescent="0.25">
      <c r="A32" s="61">
        <v>1</v>
      </c>
      <c r="B32" s="356">
        <v>2</v>
      </c>
      <c r="C32" s="357"/>
      <c r="D32" s="61">
        <v>3</v>
      </c>
      <c r="E32" s="61">
        <v>4</v>
      </c>
      <c r="F32" s="61">
        <v>5</v>
      </c>
      <c r="G32" s="61">
        <v>6</v>
      </c>
      <c r="H32" s="61">
        <v>7</v>
      </c>
      <c r="I32" s="61">
        <v>8</v>
      </c>
    </row>
    <row r="33" spans="1:9" s="68" customFormat="1" ht="39" customHeight="1" x14ac:dyDescent="0.25">
      <c r="A33" s="63">
        <v>1</v>
      </c>
      <c r="B33" s="358" t="s">
        <v>563</v>
      </c>
      <c r="C33" s="359"/>
      <c r="D33" s="64" t="s">
        <v>106</v>
      </c>
      <c r="E33" s="65">
        <f>C22</f>
        <v>102.6</v>
      </c>
      <c r="F33" s="63"/>
      <c r="G33" s="66"/>
      <c r="H33" s="166">
        <f>E33*F33*G33</f>
        <v>0</v>
      </c>
      <c r="I33" s="67"/>
    </row>
    <row r="34" spans="1:9" s="71" customFormat="1" ht="30.75" customHeight="1" x14ac:dyDescent="0.25">
      <c r="A34" s="69"/>
      <c r="B34" s="349" t="s">
        <v>34</v>
      </c>
      <c r="C34" s="350"/>
      <c r="D34" s="69"/>
      <c r="E34" s="69"/>
      <c r="F34" s="69"/>
      <c r="G34" s="69"/>
      <c r="H34" s="169">
        <f>SUM(H33:H33)</f>
        <v>0</v>
      </c>
      <c r="I34" s="69"/>
    </row>
    <row r="35" spans="1:9" ht="9" customHeight="1" x14ac:dyDescent="0.25">
      <c r="A35" s="77"/>
      <c r="B35" s="72"/>
      <c r="C35" s="72"/>
      <c r="D35" s="73"/>
      <c r="E35" s="73"/>
      <c r="F35" s="73"/>
      <c r="G35" s="73"/>
      <c r="H35" s="73"/>
      <c r="I35" s="73"/>
    </row>
    <row r="36" spans="1:9" ht="21" customHeight="1" x14ac:dyDescent="0.25">
      <c r="A36" s="75" t="s">
        <v>9</v>
      </c>
      <c r="B36" s="360" t="s">
        <v>35</v>
      </c>
      <c r="C36" s="360"/>
      <c r="D36" s="360"/>
      <c r="E36" s="360"/>
      <c r="F36" s="360"/>
      <c r="G36" s="360"/>
      <c r="H36" s="360"/>
      <c r="I36" s="360"/>
    </row>
    <row r="37" spans="1:9" s="288" customFormat="1" ht="49.5" x14ac:dyDescent="0.25">
      <c r="A37" s="29" t="s">
        <v>25</v>
      </c>
      <c r="B37" s="353" t="s">
        <v>27</v>
      </c>
      <c r="C37" s="355"/>
      <c r="D37" s="21" t="s">
        <v>28</v>
      </c>
      <c r="E37" s="22" t="s">
        <v>29</v>
      </c>
      <c r="F37" s="22" t="s">
        <v>30</v>
      </c>
      <c r="G37" s="21" t="s">
        <v>31</v>
      </c>
      <c r="H37" s="22" t="s">
        <v>32</v>
      </c>
      <c r="I37" s="22" t="s">
        <v>33</v>
      </c>
    </row>
    <row r="38" spans="1:9" s="62" customFormat="1" ht="18" customHeight="1" x14ac:dyDescent="0.25">
      <c r="A38" s="61">
        <v>1</v>
      </c>
      <c r="B38" s="356">
        <v>2</v>
      </c>
      <c r="C38" s="357"/>
      <c r="D38" s="61">
        <v>3</v>
      </c>
      <c r="E38" s="61">
        <v>4</v>
      </c>
      <c r="F38" s="61">
        <v>5</v>
      </c>
      <c r="G38" s="61">
        <v>6</v>
      </c>
      <c r="H38" s="61">
        <v>7</v>
      </c>
      <c r="I38" s="61">
        <v>8</v>
      </c>
    </row>
    <row r="39" spans="1:9" ht="37.5" customHeight="1" x14ac:dyDescent="0.25">
      <c r="A39" s="26">
        <v>1</v>
      </c>
      <c r="B39" s="353"/>
      <c r="C39" s="355"/>
      <c r="D39" s="27"/>
      <c r="E39" s="22"/>
      <c r="F39" s="27"/>
      <c r="G39" s="27"/>
      <c r="H39" s="27"/>
      <c r="I39" s="26" t="s">
        <v>36</v>
      </c>
    </row>
    <row r="40" spans="1:9" s="71" customFormat="1" ht="25.5" customHeight="1" x14ac:dyDescent="0.25">
      <c r="A40" s="69"/>
      <c r="B40" s="349" t="s">
        <v>34</v>
      </c>
      <c r="C40" s="350"/>
      <c r="D40" s="74"/>
      <c r="E40" s="69"/>
      <c r="F40" s="74"/>
      <c r="G40" s="74"/>
      <c r="H40" s="74"/>
      <c r="I40" s="69"/>
    </row>
    <row r="41" spans="1:9" ht="13.5" customHeight="1" x14ac:dyDescent="0.25">
      <c r="A41" s="124"/>
      <c r="B41" s="75"/>
      <c r="C41" s="75"/>
      <c r="D41" s="283"/>
      <c r="E41" s="75"/>
      <c r="F41" s="283"/>
      <c r="G41" s="283"/>
      <c r="H41" s="283"/>
      <c r="I41" s="75"/>
    </row>
    <row r="42" spans="1:9" x14ac:dyDescent="0.25">
      <c r="A42" s="324"/>
      <c r="B42" s="327" t="s">
        <v>37</v>
      </c>
      <c r="C42" s="328"/>
      <c r="D42" s="328"/>
      <c r="E42" s="328"/>
      <c r="F42" s="328"/>
      <c r="G42" s="329"/>
      <c r="H42" s="27"/>
      <c r="I42" s="26" t="s">
        <v>74</v>
      </c>
    </row>
    <row r="43" spans="1:9" x14ac:dyDescent="0.25">
      <c r="A43" s="325"/>
      <c r="B43" s="330" t="s">
        <v>38</v>
      </c>
      <c r="C43" s="331"/>
      <c r="D43" s="331"/>
      <c r="E43" s="331"/>
      <c r="F43" s="331"/>
      <c r="G43" s="332"/>
      <c r="H43" s="27"/>
      <c r="I43" s="26" t="s">
        <v>74</v>
      </c>
    </row>
    <row r="44" spans="1:9" x14ac:dyDescent="0.25">
      <c r="A44" s="326"/>
      <c r="B44" s="333" t="s">
        <v>39</v>
      </c>
      <c r="C44" s="334"/>
      <c r="D44" s="334"/>
      <c r="E44" s="334"/>
      <c r="F44" s="334"/>
      <c r="G44" s="335"/>
      <c r="H44" s="27"/>
      <c r="I44" s="26" t="s">
        <v>74</v>
      </c>
    </row>
    <row r="45" spans="1:9" ht="6.75" customHeight="1" x14ac:dyDescent="0.25">
      <c r="A45" s="77"/>
      <c r="B45" s="72"/>
      <c r="C45" s="72"/>
      <c r="D45" s="72"/>
      <c r="E45" s="78"/>
      <c r="F45" s="72"/>
      <c r="G45" s="72"/>
      <c r="H45" s="79"/>
      <c r="I45" s="79"/>
    </row>
    <row r="46" spans="1:9" ht="21" customHeight="1" x14ac:dyDescent="0.25">
      <c r="A46" s="125" t="s">
        <v>22</v>
      </c>
      <c r="B46" s="376" t="s">
        <v>40</v>
      </c>
      <c r="C46" s="376"/>
      <c r="D46" s="376"/>
      <c r="E46" s="376"/>
      <c r="F46" s="376"/>
      <c r="G46" s="376"/>
      <c r="H46" s="285"/>
      <c r="I46" s="81"/>
    </row>
    <row r="47" spans="1:9" s="30" customFormat="1" ht="49.5" x14ac:dyDescent="0.25">
      <c r="A47" s="21" t="s">
        <v>25</v>
      </c>
      <c r="B47" s="21" t="s">
        <v>41</v>
      </c>
      <c r="C47" s="21" t="s">
        <v>28</v>
      </c>
      <c r="D47" s="21" t="s">
        <v>42</v>
      </c>
      <c r="E47" s="21" t="s">
        <v>43</v>
      </c>
      <c r="F47" s="22" t="s">
        <v>30</v>
      </c>
      <c r="G47" s="21" t="s">
        <v>31</v>
      </c>
      <c r="H47" s="21" t="s">
        <v>45</v>
      </c>
      <c r="I47" s="21" t="s">
        <v>33</v>
      </c>
    </row>
    <row r="48" spans="1:9" s="83" customFormat="1" ht="18" customHeight="1" x14ac:dyDescent="0.25">
      <c r="A48" s="82">
        <v>1</v>
      </c>
      <c r="B48" s="82">
        <v>2</v>
      </c>
      <c r="C48" s="82">
        <v>3</v>
      </c>
      <c r="D48" s="82">
        <v>4</v>
      </c>
      <c r="E48" s="82">
        <v>5</v>
      </c>
      <c r="F48" s="82">
        <v>6</v>
      </c>
      <c r="G48" s="82">
        <v>7</v>
      </c>
      <c r="H48" s="82">
        <v>8</v>
      </c>
      <c r="I48" s="82">
        <v>9</v>
      </c>
    </row>
    <row r="49" spans="1:12" s="89" customFormat="1" ht="30" customHeight="1" x14ac:dyDescent="0.25">
      <c r="A49" s="21" t="s">
        <v>46</v>
      </c>
      <c r="B49" s="84" t="s">
        <v>47</v>
      </c>
      <c r="C49" s="85"/>
      <c r="D49" s="85"/>
      <c r="E49" s="86"/>
      <c r="F49" s="85"/>
      <c r="G49" s="85"/>
      <c r="H49" s="167">
        <f>SUM(H50:H53)</f>
        <v>0</v>
      </c>
      <c r="I49" s="88"/>
    </row>
    <row r="50" spans="1:12" s="89" customFormat="1" ht="75.75" customHeight="1" x14ac:dyDescent="0.25">
      <c r="A50" s="286">
        <v>1</v>
      </c>
      <c r="B50" s="91" t="s">
        <v>521</v>
      </c>
      <c r="C50" s="64" t="s">
        <v>106</v>
      </c>
      <c r="D50" s="96" t="s">
        <v>522</v>
      </c>
      <c r="E50" s="234">
        <f>4*11.14</f>
        <v>44.56</v>
      </c>
      <c r="F50" s="93"/>
      <c r="G50" s="93"/>
      <c r="H50" s="159"/>
      <c r="I50" s="347" t="s">
        <v>110</v>
      </c>
    </row>
    <row r="51" spans="1:12" s="89" customFormat="1" ht="29.25" customHeight="1" x14ac:dyDescent="0.25">
      <c r="A51" s="286" t="s">
        <v>131</v>
      </c>
      <c r="B51" s="132" t="s">
        <v>489</v>
      </c>
      <c r="C51" s="64" t="s">
        <v>106</v>
      </c>
      <c r="D51" s="96" t="s">
        <v>400</v>
      </c>
      <c r="E51" s="92">
        <f>E50</f>
        <v>44.56</v>
      </c>
      <c r="F51" s="93"/>
      <c r="G51" s="93"/>
      <c r="H51" s="159"/>
      <c r="I51" s="348"/>
    </row>
    <row r="52" spans="1:12" s="89" customFormat="1" ht="39" customHeight="1" x14ac:dyDescent="0.25">
      <c r="A52" s="286">
        <v>2</v>
      </c>
      <c r="B52" s="91" t="s">
        <v>90</v>
      </c>
      <c r="C52" s="64" t="s">
        <v>106</v>
      </c>
      <c r="D52" s="96" t="s">
        <v>523</v>
      </c>
      <c r="E52" s="234">
        <f>C22-E50</f>
        <v>58.039999999999992</v>
      </c>
      <c r="F52" s="93"/>
      <c r="G52" s="93"/>
      <c r="H52" s="159"/>
      <c r="I52" s="348"/>
    </row>
    <row r="53" spans="1:12" s="89" customFormat="1" ht="25.9" customHeight="1" x14ac:dyDescent="0.25">
      <c r="A53" s="286">
        <v>5</v>
      </c>
      <c r="B53" s="132" t="s">
        <v>95</v>
      </c>
      <c r="C53" s="64" t="s">
        <v>490</v>
      </c>
      <c r="D53" s="96" t="s">
        <v>517</v>
      </c>
      <c r="E53" s="92">
        <v>9</v>
      </c>
      <c r="F53" s="93"/>
      <c r="G53" s="93"/>
      <c r="H53" s="159"/>
      <c r="I53" s="287"/>
    </row>
    <row r="54" spans="1:12" s="89" customFormat="1" ht="25.5" customHeight="1" x14ac:dyDescent="0.25">
      <c r="A54" s="21" t="s">
        <v>48</v>
      </c>
      <c r="B54" s="84" t="s">
        <v>49</v>
      </c>
      <c r="C54" s="85"/>
      <c r="D54" s="85"/>
      <c r="E54" s="92"/>
      <c r="F54" s="85"/>
      <c r="G54" s="85"/>
      <c r="H54" s="167">
        <f>SUM(H55:H55)</f>
        <v>0</v>
      </c>
      <c r="I54" s="95"/>
    </row>
    <row r="55" spans="1:12" s="89" customFormat="1" ht="85.15" customHeight="1" x14ac:dyDescent="0.25">
      <c r="A55" s="286">
        <v>1</v>
      </c>
      <c r="B55" s="186" t="s">
        <v>533</v>
      </c>
      <c r="C55" s="64" t="s">
        <v>144</v>
      </c>
      <c r="D55" s="96" t="s">
        <v>534</v>
      </c>
      <c r="E55" s="92"/>
      <c r="F55" s="93"/>
      <c r="G55" s="93"/>
      <c r="H55" s="159"/>
      <c r="I55" s="289" t="s">
        <v>110</v>
      </c>
    </row>
    <row r="56" spans="1:12" s="102" customFormat="1" ht="31.5" customHeight="1" x14ac:dyDescent="0.25">
      <c r="A56" s="126"/>
      <c r="B56" s="100" t="s">
        <v>50</v>
      </c>
      <c r="C56" s="100"/>
      <c r="D56" s="100"/>
      <c r="E56" s="100"/>
      <c r="F56" s="100"/>
      <c r="G56" s="100"/>
      <c r="H56" s="158">
        <f>H49+H54</f>
        <v>0</v>
      </c>
      <c r="I56" s="101"/>
    </row>
    <row r="57" spans="1:12" ht="22.5" customHeight="1" x14ac:dyDescent="0.25">
      <c r="A57" s="127">
        <v>4</v>
      </c>
      <c r="B57" s="337" t="s">
        <v>51</v>
      </c>
      <c r="C57" s="337"/>
      <c r="D57" s="337"/>
      <c r="E57" s="337"/>
      <c r="F57" s="337"/>
      <c r="G57" s="337"/>
      <c r="H57" s="51"/>
      <c r="I57" s="51"/>
    </row>
    <row r="58" spans="1:12" s="104" customFormat="1" ht="49.5" x14ac:dyDescent="0.25">
      <c r="A58" s="103" t="s">
        <v>25</v>
      </c>
      <c r="B58" s="338" t="s">
        <v>52</v>
      </c>
      <c r="C58" s="339"/>
      <c r="D58" s="21" t="s">
        <v>29</v>
      </c>
      <c r="E58" s="21" t="s">
        <v>53</v>
      </c>
      <c r="F58" s="21" t="s">
        <v>44</v>
      </c>
      <c r="G58" s="21" t="s">
        <v>54</v>
      </c>
      <c r="H58" s="21" t="s">
        <v>45</v>
      </c>
      <c r="I58" s="21" t="s">
        <v>33</v>
      </c>
    </row>
    <row r="59" spans="1:12" ht="28.5" customHeight="1" x14ac:dyDescent="0.25">
      <c r="A59" s="105"/>
      <c r="B59" s="340"/>
      <c r="C59" s="341"/>
      <c r="D59" s="106"/>
      <c r="E59" s="105"/>
      <c r="F59" s="107"/>
      <c r="G59" s="108"/>
      <c r="H59" s="108"/>
      <c r="I59" s="109"/>
      <c r="L59" s="110"/>
    </row>
    <row r="60" spans="1:12" s="112" customFormat="1" ht="27.75" customHeight="1" x14ac:dyDescent="0.25">
      <c r="A60" s="126"/>
      <c r="B60" s="342" t="s">
        <v>34</v>
      </c>
      <c r="C60" s="343"/>
      <c r="D60" s="100"/>
      <c r="E60" s="100"/>
      <c r="F60" s="100"/>
      <c r="G60" s="100"/>
      <c r="H60" s="163">
        <f>SUM(H59)</f>
        <v>0</v>
      </c>
      <c r="I60" s="111"/>
      <c r="L60" s="113"/>
    </row>
    <row r="61" spans="1:12" s="115" customFormat="1" ht="27.75" customHeight="1" x14ac:dyDescent="0.25">
      <c r="A61" s="128">
        <v>5</v>
      </c>
      <c r="B61" s="344" t="s">
        <v>56</v>
      </c>
      <c r="C61" s="344"/>
      <c r="D61" s="344"/>
      <c r="E61" s="344"/>
      <c r="F61" s="344"/>
      <c r="G61" s="345"/>
      <c r="H61" s="164">
        <f>H60+H56+H40+H34</f>
        <v>0</v>
      </c>
      <c r="I61" s="114" t="s">
        <v>57</v>
      </c>
    </row>
    <row r="62" spans="1:12" s="117" customFormat="1" ht="17.25" x14ac:dyDescent="0.25">
      <c r="A62" s="129"/>
      <c r="B62" s="116" t="s">
        <v>78</v>
      </c>
      <c r="C62" s="346" t="s">
        <v>91</v>
      </c>
      <c r="D62" s="346"/>
      <c r="E62" s="346"/>
      <c r="F62" s="346"/>
      <c r="G62" s="346"/>
      <c r="H62" s="346"/>
      <c r="I62" s="346"/>
    </row>
    <row r="63" spans="1:12" s="41" customFormat="1" ht="17.25" hidden="1" x14ac:dyDescent="0.3">
      <c r="A63" s="281"/>
      <c r="B63" s="118"/>
      <c r="E63" s="119"/>
      <c r="F63" s="316" t="s">
        <v>75</v>
      </c>
      <c r="G63" s="316"/>
      <c r="H63" s="316"/>
      <c r="I63" s="316"/>
    </row>
    <row r="64" spans="1:12" hidden="1" x14ac:dyDescent="0.25">
      <c r="F64" s="316" t="s">
        <v>76</v>
      </c>
      <c r="G64" s="316"/>
      <c r="H64" s="316"/>
      <c r="I64" s="316"/>
    </row>
    <row r="65" spans="1:9" hidden="1" x14ac:dyDescent="0.25">
      <c r="F65" s="317"/>
      <c r="G65" s="317"/>
      <c r="H65" s="317"/>
      <c r="I65" s="317"/>
    </row>
    <row r="66" spans="1:9" hidden="1" x14ac:dyDescent="0.25"/>
    <row r="67" spans="1:9" hidden="1" x14ac:dyDescent="0.25"/>
    <row r="68" spans="1:9" hidden="1" x14ac:dyDescent="0.25"/>
    <row r="69" spans="1:9" hidden="1" x14ac:dyDescent="0.25"/>
    <row r="70" spans="1:9" hidden="1" x14ac:dyDescent="0.25"/>
    <row r="71" spans="1:9" hidden="1" x14ac:dyDescent="0.25">
      <c r="F71" s="318" t="s">
        <v>77</v>
      </c>
      <c r="G71" s="318"/>
      <c r="H71" s="318"/>
      <c r="I71" s="318"/>
    </row>
    <row r="72" spans="1:9" ht="65.25" customHeight="1" x14ac:dyDescent="0.25">
      <c r="A72" s="319" t="s">
        <v>100</v>
      </c>
      <c r="B72" s="319"/>
      <c r="C72" s="319"/>
      <c r="D72" s="319"/>
      <c r="E72" s="319"/>
      <c r="F72" s="319"/>
      <c r="G72" s="319"/>
      <c r="H72" s="319"/>
      <c r="I72" s="319"/>
    </row>
    <row r="73" spans="1:9" x14ac:dyDescent="0.25">
      <c r="A73" s="315" t="s">
        <v>102</v>
      </c>
      <c r="B73" s="315"/>
      <c r="C73" s="315"/>
      <c r="D73" s="315"/>
      <c r="E73" s="315"/>
      <c r="F73" s="315"/>
      <c r="G73" s="315"/>
      <c r="H73" s="315"/>
      <c r="I73" s="315"/>
    </row>
    <row r="74" spans="1:9" x14ac:dyDescent="0.25">
      <c r="A74" s="320" t="s">
        <v>107</v>
      </c>
      <c r="B74" s="320"/>
      <c r="C74" s="320"/>
      <c r="D74" s="321"/>
      <c r="E74" s="322" t="s">
        <v>108</v>
      </c>
      <c r="F74" s="323"/>
      <c r="G74" s="323"/>
      <c r="H74" s="323"/>
      <c r="I74" s="323"/>
    </row>
    <row r="75" spans="1:9" x14ac:dyDescent="0.25">
      <c r="A75" s="320"/>
      <c r="B75" s="320"/>
      <c r="C75" s="320"/>
      <c r="D75" s="321"/>
      <c r="E75" s="322"/>
      <c r="F75" s="323"/>
      <c r="G75" s="323"/>
      <c r="H75" s="323"/>
      <c r="I75" s="323"/>
    </row>
    <row r="76" spans="1:9" x14ac:dyDescent="0.25">
      <c r="A76" s="320"/>
      <c r="B76" s="320"/>
      <c r="C76" s="320"/>
      <c r="D76" s="321"/>
      <c r="E76" s="38"/>
      <c r="I76" s="20"/>
    </row>
    <row r="77" spans="1:9" x14ac:dyDescent="0.25">
      <c r="A77" s="315" t="s">
        <v>101</v>
      </c>
      <c r="B77" s="315"/>
      <c r="C77" s="315"/>
      <c r="D77" s="315"/>
      <c r="E77" s="315"/>
      <c r="F77" s="315"/>
      <c r="G77" s="315"/>
      <c r="H77" s="315"/>
      <c r="I77" s="315"/>
    </row>
  </sheetData>
  <mergeCells count="57">
    <mergeCell ref="A74:D76"/>
    <mergeCell ref="E74:I75"/>
    <mergeCell ref="A77:I77"/>
    <mergeCell ref="F63:I63"/>
    <mergeCell ref="F64:I64"/>
    <mergeCell ref="F65:I65"/>
    <mergeCell ref="F71:I71"/>
    <mergeCell ref="A72:I72"/>
    <mergeCell ref="A73:I73"/>
    <mergeCell ref="C62:I62"/>
    <mergeCell ref="A42:A44"/>
    <mergeCell ref="B42:G42"/>
    <mergeCell ref="B43:G43"/>
    <mergeCell ref="B44:G44"/>
    <mergeCell ref="B46:G46"/>
    <mergeCell ref="I50:I52"/>
    <mergeCell ref="B57:G57"/>
    <mergeCell ref="B58:C58"/>
    <mergeCell ref="B59:C59"/>
    <mergeCell ref="B60:C60"/>
    <mergeCell ref="B61:G61"/>
    <mergeCell ref="B40:C40"/>
    <mergeCell ref="B29:I29"/>
    <mergeCell ref="A30:A31"/>
    <mergeCell ref="B30:I30"/>
    <mergeCell ref="B31:C31"/>
    <mergeCell ref="B32:C32"/>
    <mergeCell ref="B33:C33"/>
    <mergeCell ref="B34:C34"/>
    <mergeCell ref="B36:I36"/>
    <mergeCell ref="B37:C37"/>
    <mergeCell ref="B38:C38"/>
    <mergeCell ref="B39:C39"/>
    <mergeCell ref="B28:I28"/>
    <mergeCell ref="C10:I10"/>
    <mergeCell ref="C11:I11"/>
    <mergeCell ref="F13:I13"/>
    <mergeCell ref="C14:I14"/>
    <mergeCell ref="C15:I15"/>
    <mergeCell ref="B17:I17"/>
    <mergeCell ref="D19:E19"/>
    <mergeCell ref="C24:I24"/>
    <mergeCell ref="C25:I25"/>
    <mergeCell ref="B26:F26"/>
    <mergeCell ref="B27:G27"/>
    <mergeCell ref="A5:I5"/>
    <mergeCell ref="A6:I6"/>
    <mergeCell ref="A7:I7"/>
    <mergeCell ref="B8:I8"/>
    <mergeCell ref="B9:E9"/>
    <mergeCell ref="F9:I9"/>
    <mergeCell ref="A1:D1"/>
    <mergeCell ref="E1:I1"/>
    <mergeCell ref="A2:D2"/>
    <mergeCell ref="E2:I2"/>
    <mergeCell ref="A4:C4"/>
    <mergeCell ref="E4:I4"/>
  </mergeCells>
  <printOptions horizontalCentered="1"/>
  <pageMargins left="0.15748031496062992" right="0.15748031496062992" top="0.31496062992125984" bottom="0.15748031496062992" header="0.31496062992125984" footer="0.15748031496062992"/>
  <pageSetup paperSize="9" scale="80" orientation="portrait" r:id="rId1"/>
  <drawing r:id="rId2"/>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78"/>
  <sheetViews>
    <sheetView topLeftCell="A28" workbookViewId="0">
      <selection activeCell="B33" sqref="B33:C33"/>
    </sheetView>
  </sheetViews>
  <sheetFormatPr defaultColWidth="9.140625" defaultRowHeight="16.5" x14ac:dyDescent="0.25"/>
  <cols>
    <col min="1" max="1" width="4.42578125" style="68" customWidth="1"/>
    <col min="2" max="2" width="27.140625" style="20" customWidth="1"/>
    <col min="3" max="3" width="8.42578125" style="20" customWidth="1"/>
    <col min="4" max="4" width="22.85546875" style="20" customWidth="1"/>
    <col min="5" max="5" width="10.7109375" style="288" customWidth="1"/>
    <col min="6" max="6" width="11.140625" style="20" customWidth="1"/>
    <col min="7" max="7" width="9.5703125" style="20" customWidth="1"/>
    <col min="8" max="8" width="15.140625" style="20" customWidth="1"/>
    <col min="9" max="9" width="15.7109375" style="120" customWidth="1"/>
    <col min="10" max="10" width="9.140625" style="20" customWidth="1"/>
    <col min="11" max="11" width="56.5703125" style="20" customWidth="1"/>
    <col min="12" max="12" width="11.5703125" style="20" customWidth="1"/>
    <col min="13" max="19" width="9.140625" style="20" customWidth="1"/>
    <col min="20" max="16384" width="9.140625" style="20"/>
  </cols>
  <sheetData>
    <row r="1" spans="1:17" s="36" customFormat="1" x14ac:dyDescent="0.25">
      <c r="A1" s="368" t="s">
        <v>98</v>
      </c>
      <c r="B1" s="368"/>
      <c r="C1" s="368"/>
      <c r="D1" s="368"/>
      <c r="E1" s="368" t="s">
        <v>0</v>
      </c>
      <c r="F1" s="368"/>
      <c r="G1" s="368"/>
      <c r="H1" s="368"/>
      <c r="I1" s="368"/>
    </row>
    <row r="2" spans="1:17" s="36" customFormat="1" x14ac:dyDescent="0.25">
      <c r="A2" s="369" t="s">
        <v>99</v>
      </c>
      <c r="B2" s="369"/>
      <c r="C2" s="369"/>
      <c r="D2" s="369"/>
      <c r="E2" s="369" t="s">
        <v>1</v>
      </c>
      <c r="F2" s="368"/>
      <c r="G2" s="368"/>
      <c r="H2" s="368"/>
      <c r="I2" s="368"/>
    </row>
    <row r="3" spans="1:17" s="36" customFormat="1" ht="15.75" customHeight="1" x14ac:dyDescent="0.25">
      <c r="A3" s="281"/>
      <c r="B3" s="291"/>
      <c r="C3" s="281"/>
      <c r="D3" s="281"/>
      <c r="E3" s="281"/>
      <c r="F3" s="281"/>
      <c r="G3" s="281"/>
      <c r="H3" s="281"/>
      <c r="I3" s="37"/>
    </row>
    <row r="4" spans="1:17" s="36" customFormat="1" ht="21.75" customHeight="1" x14ac:dyDescent="0.25">
      <c r="A4" s="369" t="s">
        <v>89</v>
      </c>
      <c r="B4" s="369"/>
      <c r="C4" s="369"/>
      <c r="D4" s="369"/>
      <c r="E4" s="370" t="s">
        <v>185</v>
      </c>
      <c r="F4" s="370"/>
      <c r="G4" s="370"/>
      <c r="H4" s="370"/>
      <c r="I4" s="370"/>
    </row>
    <row r="5" spans="1:17" s="40" customFormat="1" ht="24" customHeight="1" x14ac:dyDescent="0.25">
      <c r="A5" s="371" t="s">
        <v>85</v>
      </c>
      <c r="B5" s="371"/>
      <c r="C5" s="371"/>
      <c r="D5" s="371"/>
      <c r="E5" s="371"/>
      <c r="F5" s="371"/>
      <c r="G5" s="371"/>
      <c r="H5" s="371"/>
      <c r="I5" s="371"/>
    </row>
    <row r="6" spans="1:17" s="40" customFormat="1" ht="43.5" customHeight="1" x14ac:dyDescent="0.25">
      <c r="A6" s="372" t="s">
        <v>86</v>
      </c>
      <c r="B6" s="372"/>
      <c r="C6" s="372"/>
      <c r="D6" s="372"/>
      <c r="E6" s="372"/>
      <c r="F6" s="372"/>
      <c r="G6" s="372"/>
      <c r="H6" s="372"/>
      <c r="I6" s="372"/>
      <c r="Q6" s="41"/>
    </row>
    <row r="7" spans="1:17" s="40" customFormat="1" ht="33" customHeight="1" x14ac:dyDescent="0.25">
      <c r="A7" s="373" t="s">
        <v>207</v>
      </c>
      <c r="B7" s="373"/>
      <c r="C7" s="373"/>
      <c r="D7" s="373"/>
      <c r="E7" s="373"/>
      <c r="F7" s="373"/>
      <c r="G7" s="373"/>
      <c r="H7" s="373"/>
      <c r="I7" s="373"/>
    </row>
    <row r="8" spans="1:17" s="280" customFormat="1" ht="20.100000000000001" customHeight="1" x14ac:dyDescent="0.25">
      <c r="A8" s="279" t="s">
        <v>2</v>
      </c>
      <c r="B8" s="362" t="s">
        <v>3</v>
      </c>
      <c r="C8" s="362"/>
      <c r="D8" s="362"/>
      <c r="E8" s="362"/>
      <c r="F8" s="362"/>
      <c r="G8" s="362"/>
      <c r="H8" s="362"/>
      <c r="I8" s="362"/>
    </row>
    <row r="9" spans="1:17" s="280" customFormat="1" ht="20.100000000000001" customHeight="1" x14ac:dyDescent="0.25">
      <c r="A9" s="279" t="s">
        <v>4</v>
      </c>
      <c r="B9" s="374" t="s">
        <v>5</v>
      </c>
      <c r="C9" s="374"/>
      <c r="D9" s="374"/>
      <c r="E9" s="374"/>
      <c r="F9" s="365" t="s">
        <v>524</v>
      </c>
      <c r="G9" s="365"/>
      <c r="H9" s="365"/>
      <c r="I9" s="365"/>
    </row>
    <row r="10" spans="1:17" s="280" customFormat="1" ht="20.100000000000001" customHeight="1" x14ac:dyDescent="0.25">
      <c r="A10" s="122"/>
      <c r="B10" s="24" t="s">
        <v>6</v>
      </c>
      <c r="C10" s="365" t="s">
        <v>525</v>
      </c>
      <c r="D10" s="365"/>
      <c r="E10" s="365"/>
      <c r="F10" s="365"/>
      <c r="G10" s="365"/>
      <c r="H10" s="365"/>
      <c r="I10" s="365"/>
    </row>
    <row r="11" spans="1:17" s="280" customFormat="1" ht="20.100000000000001" customHeight="1" x14ac:dyDescent="0.25">
      <c r="A11" s="122"/>
      <c r="B11" s="24" t="s">
        <v>7</v>
      </c>
      <c r="C11" s="365" t="s">
        <v>526</v>
      </c>
      <c r="D11" s="365"/>
      <c r="E11" s="365"/>
      <c r="F11" s="365"/>
      <c r="G11" s="365"/>
      <c r="H11" s="365"/>
      <c r="I11" s="365"/>
    </row>
    <row r="12" spans="1:17" s="280" customFormat="1" ht="20.100000000000001" customHeight="1" x14ac:dyDescent="0.25">
      <c r="A12" s="122"/>
      <c r="B12" s="24" t="s">
        <v>11</v>
      </c>
      <c r="C12" s="361" t="s">
        <v>527</v>
      </c>
      <c r="D12" s="361"/>
      <c r="E12" s="361"/>
      <c r="F12" s="43"/>
      <c r="G12" s="43"/>
      <c r="H12" s="43"/>
      <c r="I12" s="43"/>
    </row>
    <row r="13" spans="1:17" s="280" customFormat="1" ht="20.100000000000001" customHeight="1" x14ac:dyDescent="0.25">
      <c r="A13" s="279" t="s">
        <v>9</v>
      </c>
      <c r="B13" s="44" t="s">
        <v>10</v>
      </c>
      <c r="E13" s="43"/>
      <c r="F13" s="362" t="str">
        <f>F9</f>
        <v>Trần Huy Chuyển - Trần Thị Vang</v>
      </c>
      <c r="G13" s="362"/>
      <c r="H13" s="362"/>
      <c r="I13" s="362"/>
      <c r="J13" s="143"/>
    </row>
    <row r="14" spans="1:17" s="280" customFormat="1" ht="20.100000000000001" customHeight="1" x14ac:dyDescent="0.25">
      <c r="A14" s="122"/>
      <c r="B14" s="24" t="s">
        <v>6</v>
      </c>
      <c r="C14" s="365" t="str">
        <f>+C10</f>
        <v>Thôn Yên Kiện Đồi - xã Phú Nghĩa - TP Hà Nội</v>
      </c>
      <c r="D14" s="365"/>
      <c r="E14" s="365"/>
      <c r="F14" s="365"/>
      <c r="G14" s="365"/>
      <c r="H14" s="365"/>
      <c r="I14" s="365"/>
    </row>
    <row r="15" spans="1:17" s="280" customFormat="1" ht="20.100000000000001" customHeight="1" x14ac:dyDescent="0.25">
      <c r="A15" s="122"/>
      <c r="B15" s="24" t="s">
        <v>7</v>
      </c>
      <c r="C15" s="365" t="str">
        <f>C11</f>
        <v>Thôn Lương Sơn - xã Phú Nghĩa - TP Hà Nội</v>
      </c>
      <c r="D15" s="365"/>
      <c r="E15" s="365"/>
      <c r="F15" s="365"/>
      <c r="G15" s="365"/>
      <c r="H15" s="365"/>
      <c r="I15" s="365"/>
    </row>
    <row r="16" spans="1:17" s="280" customFormat="1" ht="20.100000000000001" customHeight="1" x14ac:dyDescent="0.25">
      <c r="A16" s="122"/>
      <c r="B16" s="24" t="s">
        <v>11</v>
      </c>
      <c r="C16" s="361" t="str">
        <f>+C12</f>
        <v>001058021024</v>
      </c>
      <c r="D16" s="361"/>
      <c r="E16" s="361"/>
      <c r="F16" s="43"/>
      <c r="G16" s="43"/>
      <c r="H16" s="43"/>
      <c r="I16" s="43"/>
    </row>
    <row r="17" spans="1:19" s="280" customFormat="1" ht="20.100000000000001" customHeight="1" x14ac:dyDescent="0.25">
      <c r="A17" s="279" t="s">
        <v>12</v>
      </c>
      <c r="B17" s="362" t="s">
        <v>13</v>
      </c>
      <c r="C17" s="362"/>
      <c r="D17" s="362"/>
      <c r="E17" s="362"/>
      <c r="F17" s="362"/>
      <c r="G17" s="362"/>
      <c r="H17" s="362"/>
      <c r="I17" s="362"/>
    </row>
    <row r="18" spans="1:19" s="280" customFormat="1" ht="20.100000000000001" customHeight="1" x14ac:dyDescent="0.25">
      <c r="A18" s="279" t="s">
        <v>4</v>
      </c>
      <c r="B18" s="46" t="s">
        <v>14</v>
      </c>
      <c r="E18" s="43"/>
    </row>
    <row r="19" spans="1:19" s="51" customFormat="1" ht="20.100000000000001" customHeight="1" x14ac:dyDescent="0.25">
      <c r="A19" s="123"/>
      <c r="B19" s="47" t="s">
        <v>15</v>
      </c>
      <c r="C19" s="144">
        <v>34</v>
      </c>
      <c r="D19" s="363" t="s">
        <v>16</v>
      </c>
      <c r="E19" s="363"/>
      <c r="F19" s="49" t="s">
        <v>493</v>
      </c>
      <c r="G19" s="50"/>
      <c r="I19" s="50"/>
    </row>
    <row r="20" spans="1:19" s="51" customFormat="1" ht="20.100000000000001" customHeight="1" x14ac:dyDescent="0.25">
      <c r="A20" s="123"/>
      <c r="B20" s="47" t="s">
        <v>17</v>
      </c>
      <c r="C20" s="52">
        <v>113.7</v>
      </c>
      <c r="D20" s="50" t="s">
        <v>105</v>
      </c>
      <c r="E20" s="53"/>
      <c r="F20" s="54"/>
      <c r="H20" s="55"/>
      <c r="I20" s="50"/>
    </row>
    <row r="21" spans="1:19" s="51" customFormat="1" ht="20.100000000000001" customHeight="1" x14ac:dyDescent="0.25">
      <c r="A21" s="123"/>
      <c r="B21" s="56" t="s">
        <v>18</v>
      </c>
      <c r="C21" s="57"/>
      <c r="D21" s="50"/>
      <c r="E21" s="53"/>
      <c r="F21" s="50"/>
      <c r="H21" s="55"/>
      <c r="I21" s="50"/>
    </row>
    <row r="22" spans="1:19" s="51" customFormat="1" ht="20.100000000000001" customHeight="1" x14ac:dyDescent="0.25">
      <c r="A22" s="123"/>
      <c r="B22" s="47" t="s">
        <v>19</v>
      </c>
      <c r="C22" s="52">
        <v>54.9</v>
      </c>
      <c r="D22" s="50" t="s">
        <v>105</v>
      </c>
      <c r="E22" s="53"/>
      <c r="F22" s="50"/>
      <c r="H22" s="55"/>
      <c r="I22" s="50"/>
    </row>
    <row r="23" spans="1:19" s="51" customFormat="1" ht="20.100000000000001" customHeight="1" x14ac:dyDescent="0.25">
      <c r="A23" s="123"/>
      <c r="B23" s="47" t="s">
        <v>20</v>
      </c>
      <c r="C23" s="57">
        <f>C20-C22</f>
        <v>58.800000000000004</v>
      </c>
      <c r="D23" s="50" t="s">
        <v>105</v>
      </c>
      <c r="E23" s="53"/>
      <c r="F23" s="50"/>
      <c r="H23" s="55"/>
      <c r="I23" s="50"/>
    </row>
    <row r="24" spans="1:19" s="280" customFormat="1" ht="21" customHeight="1" x14ac:dyDescent="0.25">
      <c r="A24" s="122"/>
      <c r="B24" s="24" t="s">
        <v>21</v>
      </c>
      <c r="C24" s="362" t="s">
        <v>529</v>
      </c>
      <c r="D24" s="362"/>
      <c r="E24" s="362"/>
      <c r="F24" s="362"/>
      <c r="G24" s="362"/>
      <c r="H24" s="362"/>
      <c r="I24" s="362"/>
    </row>
    <row r="25" spans="1:19" s="36" customFormat="1" ht="190.15" customHeight="1" x14ac:dyDescent="0.25">
      <c r="A25" s="281" t="s">
        <v>9</v>
      </c>
      <c r="B25" s="284" t="s">
        <v>73</v>
      </c>
      <c r="C25" s="366" t="s">
        <v>593</v>
      </c>
      <c r="D25" s="367"/>
      <c r="E25" s="367"/>
      <c r="F25" s="367"/>
      <c r="G25" s="367"/>
      <c r="H25" s="367"/>
      <c r="I25" s="367"/>
      <c r="J25" s="133"/>
      <c r="K25" s="134"/>
      <c r="L25" s="134"/>
      <c r="M25" s="59"/>
      <c r="N25" s="59"/>
      <c r="O25" s="59"/>
      <c r="P25" s="59"/>
      <c r="Q25" s="59"/>
      <c r="R25" s="59"/>
      <c r="S25" s="59"/>
    </row>
    <row r="26" spans="1:19" s="36" customFormat="1" ht="21" customHeight="1" x14ac:dyDescent="0.25">
      <c r="A26" s="281" t="s">
        <v>22</v>
      </c>
      <c r="B26" s="364" t="s">
        <v>82</v>
      </c>
      <c r="C26" s="364"/>
      <c r="D26" s="364"/>
      <c r="E26" s="364"/>
      <c r="F26" s="364"/>
      <c r="G26" s="282"/>
      <c r="H26" s="149" t="s">
        <v>112</v>
      </c>
      <c r="I26" s="282" t="s">
        <v>55</v>
      </c>
      <c r="J26" s="142"/>
      <c r="K26" s="142"/>
      <c r="L26" s="59"/>
      <c r="M26" s="59"/>
      <c r="N26" s="59"/>
      <c r="O26" s="59"/>
      <c r="P26" s="59"/>
      <c r="Q26" s="59"/>
      <c r="R26" s="59"/>
      <c r="S26" s="59"/>
    </row>
    <row r="27" spans="1:19" s="36" customFormat="1" ht="23.25" customHeight="1" x14ac:dyDescent="0.25">
      <c r="A27" s="281" t="s">
        <v>23</v>
      </c>
      <c r="B27" s="364" t="s">
        <v>65</v>
      </c>
      <c r="C27" s="364"/>
      <c r="D27" s="364"/>
      <c r="E27" s="364"/>
      <c r="F27" s="364"/>
      <c r="G27" s="364"/>
      <c r="H27" s="148" t="s">
        <v>119</v>
      </c>
      <c r="I27" s="282" t="s">
        <v>84</v>
      </c>
      <c r="J27" s="59"/>
      <c r="K27" s="59"/>
      <c r="L27" s="59"/>
      <c r="M27" s="59"/>
      <c r="N27" s="59"/>
      <c r="O27" s="59"/>
      <c r="P27" s="59"/>
      <c r="Q27" s="59"/>
      <c r="R27" s="59"/>
      <c r="S27" s="59"/>
    </row>
    <row r="28" spans="1:19" s="41" customFormat="1" x14ac:dyDescent="0.25">
      <c r="A28" s="281" t="s">
        <v>88</v>
      </c>
      <c r="B28" s="364" t="s">
        <v>87</v>
      </c>
      <c r="C28" s="364"/>
      <c r="D28" s="364"/>
      <c r="E28" s="364"/>
      <c r="F28" s="364"/>
      <c r="G28" s="364"/>
      <c r="H28" s="364"/>
      <c r="I28" s="364"/>
    </row>
    <row r="29" spans="1:19" s="40" customFormat="1" x14ac:dyDescent="0.25">
      <c r="A29" s="281" t="s">
        <v>4</v>
      </c>
      <c r="B29" s="360" t="s">
        <v>24</v>
      </c>
      <c r="C29" s="360"/>
      <c r="D29" s="360"/>
      <c r="E29" s="360"/>
      <c r="F29" s="360"/>
      <c r="G29" s="360"/>
      <c r="H29" s="360"/>
      <c r="I29" s="360"/>
      <c r="J29" s="41"/>
      <c r="K29" s="41"/>
      <c r="L29" s="41"/>
      <c r="M29" s="41"/>
      <c r="N29" s="41"/>
      <c r="O29" s="41"/>
      <c r="P29" s="41"/>
      <c r="Q29" s="41"/>
      <c r="R29" s="41"/>
      <c r="S29" s="41"/>
    </row>
    <row r="30" spans="1:19" s="24" customFormat="1" ht="32.25" customHeight="1" x14ac:dyDescent="0.25">
      <c r="A30" s="351" t="s">
        <v>25</v>
      </c>
      <c r="B30" s="353" t="s">
        <v>26</v>
      </c>
      <c r="C30" s="354"/>
      <c r="D30" s="354"/>
      <c r="E30" s="354"/>
      <c r="F30" s="354"/>
      <c r="G30" s="354"/>
      <c r="H30" s="354"/>
      <c r="I30" s="355"/>
    </row>
    <row r="31" spans="1:19" s="25" customFormat="1" ht="49.5" x14ac:dyDescent="0.25">
      <c r="A31" s="352"/>
      <c r="B31" s="353" t="s">
        <v>27</v>
      </c>
      <c r="C31" s="355"/>
      <c r="D31" s="21" t="s">
        <v>28</v>
      </c>
      <c r="E31" s="22" t="s">
        <v>29</v>
      </c>
      <c r="F31" s="22" t="s">
        <v>30</v>
      </c>
      <c r="G31" s="21" t="s">
        <v>31</v>
      </c>
      <c r="H31" s="22" t="s">
        <v>104</v>
      </c>
      <c r="I31" s="22" t="s">
        <v>33</v>
      </c>
    </row>
    <row r="32" spans="1:19" s="62" customFormat="1" ht="18.75" customHeight="1" x14ac:dyDescent="0.25">
      <c r="A32" s="61">
        <v>1</v>
      </c>
      <c r="B32" s="356">
        <v>2</v>
      </c>
      <c r="C32" s="357"/>
      <c r="D32" s="61">
        <v>3</v>
      </c>
      <c r="E32" s="61">
        <v>4</v>
      </c>
      <c r="F32" s="61">
        <v>5</v>
      </c>
      <c r="G32" s="61">
        <v>6</v>
      </c>
      <c r="H32" s="61">
        <v>7</v>
      </c>
      <c r="I32" s="61">
        <v>8</v>
      </c>
    </row>
    <row r="33" spans="1:9" s="68" customFormat="1" ht="32.25" customHeight="1" x14ac:dyDescent="0.25">
      <c r="A33" s="63">
        <v>1</v>
      </c>
      <c r="B33" s="358" t="s">
        <v>563</v>
      </c>
      <c r="C33" s="359"/>
      <c r="D33" s="64" t="s">
        <v>106</v>
      </c>
      <c r="E33" s="65">
        <f>C22</f>
        <v>54.9</v>
      </c>
      <c r="F33" s="63"/>
      <c r="G33" s="66"/>
      <c r="H33" s="63">
        <f>E33*F33*G33</f>
        <v>0</v>
      </c>
      <c r="I33" s="67"/>
    </row>
    <row r="34" spans="1:9" s="71" customFormat="1" ht="25.5" customHeight="1" x14ac:dyDescent="0.25">
      <c r="A34" s="69"/>
      <c r="B34" s="349" t="s">
        <v>34</v>
      </c>
      <c r="C34" s="350"/>
      <c r="D34" s="69"/>
      <c r="E34" s="69"/>
      <c r="F34" s="69"/>
      <c r="G34" s="69"/>
      <c r="H34" s="70">
        <f>SUM(H33:H33)</f>
        <v>0</v>
      </c>
      <c r="I34" s="69"/>
    </row>
    <row r="35" spans="1:9" ht="5.25" customHeight="1" x14ac:dyDescent="0.25">
      <c r="A35" s="77"/>
      <c r="B35" s="72"/>
      <c r="C35" s="72"/>
      <c r="D35" s="73"/>
      <c r="E35" s="73"/>
      <c r="F35" s="73"/>
      <c r="G35" s="73"/>
      <c r="H35" s="73"/>
      <c r="I35" s="73"/>
    </row>
    <row r="36" spans="1:9" x14ac:dyDescent="0.25">
      <c r="A36" s="75" t="s">
        <v>9</v>
      </c>
      <c r="B36" s="360" t="s">
        <v>35</v>
      </c>
      <c r="C36" s="360"/>
      <c r="D36" s="360"/>
      <c r="E36" s="360"/>
      <c r="F36" s="360"/>
      <c r="G36" s="360"/>
      <c r="H36" s="360"/>
      <c r="I36" s="360"/>
    </row>
    <row r="37" spans="1:9" s="288" customFormat="1" ht="49.5" x14ac:dyDescent="0.25">
      <c r="A37" s="29" t="s">
        <v>25</v>
      </c>
      <c r="B37" s="353" t="s">
        <v>27</v>
      </c>
      <c r="C37" s="355"/>
      <c r="D37" s="21" t="s">
        <v>28</v>
      </c>
      <c r="E37" s="22" t="s">
        <v>29</v>
      </c>
      <c r="F37" s="22" t="s">
        <v>30</v>
      </c>
      <c r="G37" s="21" t="s">
        <v>31</v>
      </c>
      <c r="H37" s="22" t="s">
        <v>32</v>
      </c>
      <c r="I37" s="22" t="s">
        <v>33</v>
      </c>
    </row>
    <row r="38" spans="1:9" s="62" customFormat="1" ht="18" customHeight="1" x14ac:dyDescent="0.25">
      <c r="A38" s="61">
        <v>1</v>
      </c>
      <c r="B38" s="356">
        <v>2</v>
      </c>
      <c r="C38" s="357"/>
      <c r="D38" s="61">
        <v>3</v>
      </c>
      <c r="E38" s="61">
        <v>4</v>
      </c>
      <c r="F38" s="61">
        <v>5</v>
      </c>
      <c r="G38" s="61">
        <v>6</v>
      </c>
      <c r="H38" s="61">
        <v>7</v>
      </c>
      <c r="I38" s="61">
        <v>8</v>
      </c>
    </row>
    <row r="39" spans="1:9" ht="36" customHeight="1" x14ac:dyDescent="0.25">
      <c r="A39" s="26">
        <v>1</v>
      </c>
      <c r="B39" s="353"/>
      <c r="C39" s="355"/>
      <c r="D39" s="27"/>
      <c r="E39" s="22"/>
      <c r="F39" s="27"/>
      <c r="G39" s="27"/>
      <c r="H39" s="27"/>
      <c r="I39" s="26" t="s">
        <v>36</v>
      </c>
    </row>
    <row r="40" spans="1:9" s="71" customFormat="1" ht="18" customHeight="1" x14ac:dyDescent="0.25">
      <c r="A40" s="69"/>
      <c r="B40" s="349" t="s">
        <v>34</v>
      </c>
      <c r="C40" s="350"/>
      <c r="D40" s="74"/>
      <c r="E40" s="69"/>
      <c r="F40" s="74"/>
      <c r="G40" s="74"/>
      <c r="H40" s="74"/>
      <c r="I40" s="69"/>
    </row>
    <row r="41" spans="1:9" x14ac:dyDescent="0.25">
      <c r="A41" s="124"/>
      <c r="B41" s="75"/>
      <c r="C41" s="75"/>
      <c r="D41" s="283"/>
      <c r="E41" s="75"/>
      <c r="F41" s="283"/>
      <c r="G41" s="283"/>
      <c r="H41" s="283"/>
      <c r="I41" s="75"/>
    </row>
    <row r="42" spans="1:9" x14ac:dyDescent="0.25">
      <c r="A42" s="324"/>
      <c r="B42" s="327" t="s">
        <v>37</v>
      </c>
      <c r="C42" s="328"/>
      <c r="D42" s="328"/>
      <c r="E42" s="328"/>
      <c r="F42" s="328"/>
      <c r="G42" s="329"/>
      <c r="H42" s="27"/>
      <c r="I42" s="26" t="s">
        <v>74</v>
      </c>
    </row>
    <row r="43" spans="1:9" x14ac:dyDescent="0.25">
      <c r="A43" s="325"/>
      <c r="B43" s="330" t="s">
        <v>38</v>
      </c>
      <c r="C43" s="331"/>
      <c r="D43" s="331"/>
      <c r="E43" s="331"/>
      <c r="F43" s="331"/>
      <c r="G43" s="332"/>
      <c r="H43" s="27"/>
      <c r="I43" s="26" t="s">
        <v>74</v>
      </c>
    </row>
    <row r="44" spans="1:9" x14ac:dyDescent="0.25">
      <c r="A44" s="326"/>
      <c r="B44" s="333" t="s">
        <v>39</v>
      </c>
      <c r="C44" s="334"/>
      <c r="D44" s="334"/>
      <c r="E44" s="334"/>
      <c r="F44" s="334"/>
      <c r="G44" s="335"/>
      <c r="H44" s="27"/>
      <c r="I44" s="26" t="s">
        <v>74</v>
      </c>
    </row>
    <row r="45" spans="1:9" ht="9.75" customHeight="1" x14ac:dyDescent="0.25">
      <c r="A45" s="77"/>
      <c r="B45" s="72"/>
      <c r="C45" s="72"/>
      <c r="D45" s="72"/>
      <c r="E45" s="78"/>
      <c r="F45" s="72"/>
      <c r="G45" s="72"/>
      <c r="H45" s="79"/>
      <c r="I45" s="79"/>
    </row>
    <row r="46" spans="1:9" ht="20.25" customHeight="1" x14ac:dyDescent="0.25">
      <c r="A46" s="125" t="s">
        <v>22</v>
      </c>
      <c r="B46" s="336" t="s">
        <v>40</v>
      </c>
      <c r="C46" s="336"/>
      <c r="D46" s="336"/>
      <c r="E46" s="336"/>
      <c r="F46" s="336"/>
      <c r="G46" s="336"/>
      <c r="H46" s="285"/>
      <c r="I46" s="81"/>
    </row>
    <row r="47" spans="1:9" s="30" customFormat="1" ht="49.5" x14ac:dyDescent="0.25">
      <c r="A47" s="21" t="s">
        <v>25</v>
      </c>
      <c r="B47" s="21" t="s">
        <v>41</v>
      </c>
      <c r="C47" s="21" t="s">
        <v>28</v>
      </c>
      <c r="D47" s="21" t="s">
        <v>42</v>
      </c>
      <c r="E47" s="21" t="s">
        <v>43</v>
      </c>
      <c r="F47" s="22" t="s">
        <v>111</v>
      </c>
      <c r="G47" s="21" t="s">
        <v>31</v>
      </c>
      <c r="H47" s="21" t="s">
        <v>45</v>
      </c>
      <c r="I47" s="21" t="s">
        <v>33</v>
      </c>
    </row>
    <row r="48" spans="1:9" s="83" customFormat="1" ht="18" customHeight="1" x14ac:dyDescent="0.25">
      <c r="A48" s="82">
        <v>1</v>
      </c>
      <c r="B48" s="82">
        <v>2</v>
      </c>
      <c r="C48" s="82">
        <v>3</v>
      </c>
      <c r="D48" s="82">
        <v>4</v>
      </c>
      <c r="E48" s="82">
        <v>5</v>
      </c>
      <c r="F48" s="82">
        <v>6</v>
      </c>
      <c r="G48" s="82">
        <v>7</v>
      </c>
      <c r="H48" s="82">
        <v>8</v>
      </c>
      <c r="I48" s="82">
        <v>9</v>
      </c>
    </row>
    <row r="49" spans="1:12" s="89" customFormat="1" ht="30" customHeight="1" x14ac:dyDescent="0.25">
      <c r="A49" s="21" t="s">
        <v>46</v>
      </c>
      <c r="B49" s="84" t="s">
        <v>47</v>
      </c>
      <c r="C49" s="85"/>
      <c r="D49" s="85"/>
      <c r="E49" s="86"/>
      <c r="F49" s="85"/>
      <c r="G49" s="85"/>
      <c r="H49" s="292">
        <f>SUM(H50:H50)</f>
        <v>0</v>
      </c>
      <c r="I49" s="88"/>
    </row>
    <row r="50" spans="1:12" s="89" customFormat="1" ht="27.75" customHeight="1" x14ac:dyDescent="0.25">
      <c r="A50" s="286">
        <v>1</v>
      </c>
      <c r="B50" s="91" t="s">
        <v>90</v>
      </c>
      <c r="C50" s="64" t="s">
        <v>106</v>
      </c>
      <c r="D50" s="96" t="s">
        <v>530</v>
      </c>
      <c r="E50" s="92">
        <f>8*6.02</f>
        <v>48.16</v>
      </c>
      <c r="F50" s="93"/>
      <c r="G50" s="93"/>
      <c r="H50" s="94"/>
      <c r="I50" s="347" t="s">
        <v>110</v>
      </c>
    </row>
    <row r="51" spans="1:12" s="89" customFormat="1" ht="26.25" customHeight="1" x14ac:dyDescent="0.25">
      <c r="A51" s="286">
        <v>2</v>
      </c>
      <c r="B51" s="91" t="s">
        <v>96</v>
      </c>
      <c r="C51" s="64" t="s">
        <v>106</v>
      </c>
      <c r="D51" s="96" t="s">
        <v>531</v>
      </c>
      <c r="E51" s="92">
        <f>3*6.02</f>
        <v>18.059999999999999</v>
      </c>
      <c r="F51" s="93"/>
      <c r="G51" s="93"/>
      <c r="H51" s="94"/>
      <c r="I51" s="348"/>
    </row>
    <row r="52" spans="1:12" s="89" customFormat="1" ht="68.25" customHeight="1" x14ac:dyDescent="0.25">
      <c r="A52" s="286">
        <v>3</v>
      </c>
      <c r="B52" s="91" t="s">
        <v>532</v>
      </c>
      <c r="C52" s="64" t="s">
        <v>106</v>
      </c>
      <c r="D52" s="96" t="s">
        <v>380</v>
      </c>
      <c r="E52" s="92">
        <f>C20</f>
        <v>113.7</v>
      </c>
      <c r="F52" s="93"/>
      <c r="G52" s="93"/>
      <c r="H52" s="94"/>
      <c r="I52" s="348"/>
    </row>
    <row r="53" spans="1:12" s="89" customFormat="1" ht="39.75" customHeight="1" x14ac:dyDescent="0.25">
      <c r="A53" s="286"/>
      <c r="B53" s="132" t="s">
        <v>109</v>
      </c>
      <c r="C53" s="64" t="s">
        <v>106</v>
      </c>
      <c r="D53" s="96" t="s">
        <v>528</v>
      </c>
      <c r="E53" s="92">
        <f>C22</f>
        <v>54.9</v>
      </c>
      <c r="F53" s="93"/>
      <c r="G53" s="93"/>
      <c r="H53" s="94"/>
      <c r="I53" s="348"/>
    </row>
    <row r="54" spans="1:12" s="89" customFormat="1" ht="40.5" customHeight="1" x14ac:dyDescent="0.25">
      <c r="A54" s="286"/>
      <c r="B54" s="132" t="s">
        <v>120</v>
      </c>
      <c r="C54" s="64" t="s">
        <v>106</v>
      </c>
      <c r="D54" s="96"/>
      <c r="E54" s="92">
        <f>E52-E53</f>
        <v>58.800000000000004</v>
      </c>
      <c r="F54" s="93"/>
      <c r="G54" s="93"/>
      <c r="H54" s="94"/>
      <c r="I54" s="380"/>
    </row>
    <row r="55" spans="1:12" s="89" customFormat="1" ht="25.5" customHeight="1" x14ac:dyDescent="0.25">
      <c r="A55" s="21" t="s">
        <v>48</v>
      </c>
      <c r="B55" s="84" t="s">
        <v>49</v>
      </c>
      <c r="C55" s="85"/>
      <c r="D55" s="85"/>
      <c r="E55" s="92"/>
      <c r="F55" s="85"/>
      <c r="G55" s="85"/>
      <c r="H55" s="87">
        <f>SUM(H56:H56)</f>
        <v>0</v>
      </c>
      <c r="I55" s="95"/>
    </row>
    <row r="56" spans="1:12" s="89" customFormat="1" ht="27" customHeight="1" x14ac:dyDescent="0.25">
      <c r="A56" s="286"/>
      <c r="B56" s="91"/>
      <c r="C56" s="93"/>
      <c r="D56" s="286"/>
      <c r="E56" s="92"/>
      <c r="F56" s="97"/>
      <c r="G56" s="98"/>
      <c r="H56" s="97"/>
      <c r="I56" s="147"/>
    </row>
    <row r="57" spans="1:12" s="102" customFormat="1" ht="27.75" customHeight="1" x14ac:dyDescent="0.25">
      <c r="A57" s="126"/>
      <c r="B57" s="100" t="s">
        <v>50</v>
      </c>
      <c r="C57" s="100"/>
      <c r="D57" s="100"/>
      <c r="E57" s="100"/>
      <c r="F57" s="100"/>
      <c r="G57" s="100"/>
      <c r="H57" s="158">
        <f>H49+H55</f>
        <v>0</v>
      </c>
      <c r="I57" s="101"/>
    </row>
    <row r="58" spans="1:12" ht="22.5" customHeight="1" x14ac:dyDescent="0.25">
      <c r="A58" s="127">
        <v>4</v>
      </c>
      <c r="B58" s="337" t="s">
        <v>51</v>
      </c>
      <c r="C58" s="337"/>
      <c r="D58" s="337"/>
      <c r="E58" s="337"/>
      <c r="F58" s="337"/>
      <c r="G58" s="337"/>
      <c r="H58" s="51"/>
      <c r="I58" s="51"/>
    </row>
    <row r="59" spans="1:12" s="104" customFormat="1" ht="49.5" x14ac:dyDescent="0.25">
      <c r="A59" s="103" t="s">
        <v>25</v>
      </c>
      <c r="B59" s="338" t="s">
        <v>52</v>
      </c>
      <c r="C59" s="339"/>
      <c r="D59" s="21" t="s">
        <v>29</v>
      </c>
      <c r="E59" s="21" t="s">
        <v>53</v>
      </c>
      <c r="F59" s="21" t="s">
        <v>44</v>
      </c>
      <c r="G59" s="21" t="s">
        <v>54</v>
      </c>
      <c r="H59" s="21" t="s">
        <v>45</v>
      </c>
      <c r="I59" s="21" t="s">
        <v>33</v>
      </c>
    </row>
    <row r="60" spans="1:12" ht="24" customHeight="1" x14ac:dyDescent="0.25">
      <c r="A60" s="105"/>
      <c r="B60" s="340"/>
      <c r="C60" s="341"/>
      <c r="D60" s="106"/>
      <c r="E60" s="105"/>
      <c r="F60" s="107"/>
      <c r="G60" s="108"/>
      <c r="H60" s="108"/>
      <c r="I60" s="109"/>
      <c r="L60" s="110"/>
    </row>
    <row r="61" spans="1:12" s="112" customFormat="1" ht="27.75" customHeight="1" x14ac:dyDescent="0.25">
      <c r="A61" s="126"/>
      <c r="B61" s="342" t="s">
        <v>34</v>
      </c>
      <c r="C61" s="343"/>
      <c r="D61" s="100"/>
      <c r="E61" s="100"/>
      <c r="F61" s="100"/>
      <c r="G61" s="100"/>
      <c r="H61" s="163">
        <f>SUM(H60)</f>
        <v>0</v>
      </c>
      <c r="I61" s="111"/>
      <c r="L61" s="113"/>
    </row>
    <row r="62" spans="1:12" s="115" customFormat="1" ht="27.75" customHeight="1" x14ac:dyDescent="0.25">
      <c r="A62" s="128">
        <v>5</v>
      </c>
      <c r="B62" s="344" t="s">
        <v>56</v>
      </c>
      <c r="C62" s="344"/>
      <c r="D62" s="344"/>
      <c r="E62" s="344"/>
      <c r="F62" s="344"/>
      <c r="G62" s="345"/>
      <c r="H62" s="164">
        <f>H61+H57+H40+H34</f>
        <v>0</v>
      </c>
      <c r="I62" s="114" t="s">
        <v>57</v>
      </c>
    </row>
    <row r="63" spans="1:12" s="117" customFormat="1" ht="17.25" x14ac:dyDescent="0.25">
      <c r="A63" s="129"/>
      <c r="B63" s="116" t="s">
        <v>78</v>
      </c>
      <c r="C63" s="346" t="s">
        <v>91</v>
      </c>
      <c r="D63" s="346"/>
      <c r="E63" s="346"/>
      <c r="F63" s="346"/>
      <c r="G63" s="346"/>
      <c r="H63" s="346"/>
      <c r="I63" s="346"/>
    </row>
    <row r="64" spans="1:12" s="41" customFormat="1" ht="17.25" hidden="1" x14ac:dyDescent="0.3">
      <c r="A64" s="281"/>
      <c r="B64" s="118"/>
      <c r="E64" s="119"/>
      <c r="F64" s="316" t="s">
        <v>75</v>
      </c>
      <c r="G64" s="316"/>
      <c r="H64" s="316"/>
      <c r="I64" s="316"/>
    </row>
    <row r="65" spans="1:9" hidden="1" x14ac:dyDescent="0.25">
      <c r="F65" s="316" t="s">
        <v>76</v>
      </c>
      <c r="G65" s="316"/>
      <c r="H65" s="316"/>
      <c r="I65" s="316"/>
    </row>
    <row r="66" spans="1:9" hidden="1" x14ac:dyDescent="0.25">
      <c r="F66" s="317"/>
      <c r="G66" s="317"/>
      <c r="H66" s="317"/>
      <c r="I66" s="317"/>
    </row>
    <row r="67" spans="1:9" hidden="1" x14ac:dyDescent="0.25"/>
    <row r="68" spans="1:9" hidden="1" x14ac:dyDescent="0.25"/>
    <row r="69" spans="1:9" hidden="1" x14ac:dyDescent="0.25"/>
    <row r="70" spans="1:9" hidden="1" x14ac:dyDescent="0.25"/>
    <row r="71" spans="1:9" hidden="1" x14ac:dyDescent="0.25"/>
    <row r="72" spans="1:9" hidden="1" x14ac:dyDescent="0.25">
      <c r="F72" s="318" t="s">
        <v>77</v>
      </c>
      <c r="G72" s="318"/>
      <c r="H72" s="318"/>
      <c r="I72" s="318"/>
    </row>
    <row r="73" spans="1:9" ht="66.75" customHeight="1" x14ac:dyDescent="0.25">
      <c r="A73" s="387" t="s">
        <v>100</v>
      </c>
      <c r="B73" s="387"/>
      <c r="C73" s="387"/>
      <c r="D73" s="387"/>
      <c r="E73" s="387"/>
      <c r="F73" s="387"/>
      <c r="G73" s="387"/>
      <c r="H73" s="387"/>
      <c r="I73" s="387"/>
    </row>
    <row r="74" spans="1:9" x14ac:dyDescent="0.25">
      <c r="A74" s="315" t="s">
        <v>102</v>
      </c>
      <c r="B74" s="315"/>
      <c r="C74" s="315"/>
      <c r="D74" s="315"/>
      <c r="E74" s="315"/>
      <c r="F74" s="315"/>
      <c r="G74" s="315"/>
      <c r="H74" s="315"/>
      <c r="I74" s="315"/>
    </row>
    <row r="75" spans="1:9" x14ac:dyDescent="0.25">
      <c r="A75" s="388" t="s">
        <v>117</v>
      </c>
      <c r="B75" s="388"/>
      <c r="C75" s="388"/>
      <c r="D75" s="321"/>
      <c r="E75" s="322" t="s">
        <v>103</v>
      </c>
      <c r="F75" s="389"/>
      <c r="G75" s="389"/>
      <c r="H75" s="389"/>
      <c r="I75" s="389"/>
    </row>
    <row r="76" spans="1:9" x14ac:dyDescent="0.25">
      <c r="A76" s="388"/>
      <c r="B76" s="388"/>
      <c r="C76" s="388"/>
      <c r="D76" s="321"/>
      <c r="E76" s="322"/>
      <c r="F76" s="389"/>
      <c r="G76" s="389"/>
      <c r="H76" s="389"/>
      <c r="I76" s="389"/>
    </row>
    <row r="77" spans="1:9" x14ac:dyDescent="0.25">
      <c r="A77" s="388"/>
      <c r="B77" s="388"/>
      <c r="C77" s="388"/>
      <c r="D77" s="321"/>
      <c r="E77" s="293"/>
      <c r="F77" s="294"/>
      <c r="G77" s="294"/>
      <c r="H77" s="294"/>
      <c r="I77" s="294"/>
    </row>
    <row r="78" spans="1:9" x14ac:dyDescent="0.25">
      <c r="A78" s="315" t="s">
        <v>101</v>
      </c>
      <c r="B78" s="315"/>
      <c r="C78" s="315"/>
      <c r="D78" s="315"/>
      <c r="E78" s="315"/>
      <c r="F78" s="315"/>
      <c r="G78" s="315"/>
      <c r="H78" s="315"/>
      <c r="I78" s="315"/>
    </row>
  </sheetData>
  <mergeCells count="59">
    <mergeCell ref="A73:I73"/>
    <mergeCell ref="A74:I74"/>
    <mergeCell ref="A75:D77"/>
    <mergeCell ref="E75:I76"/>
    <mergeCell ref="A78:I78"/>
    <mergeCell ref="F72:I72"/>
    <mergeCell ref="B46:G46"/>
    <mergeCell ref="I50:I54"/>
    <mergeCell ref="B58:G58"/>
    <mergeCell ref="B59:C59"/>
    <mergeCell ref="B60:C60"/>
    <mergeCell ref="B61:C61"/>
    <mergeCell ref="B62:G62"/>
    <mergeCell ref="C63:I63"/>
    <mergeCell ref="F64:I64"/>
    <mergeCell ref="F65:I65"/>
    <mergeCell ref="F66:I66"/>
    <mergeCell ref="B39:C39"/>
    <mergeCell ref="B40:C40"/>
    <mergeCell ref="A42:A44"/>
    <mergeCell ref="B42:G42"/>
    <mergeCell ref="B43:G43"/>
    <mergeCell ref="B44:G44"/>
    <mergeCell ref="B38:C38"/>
    <mergeCell ref="B27:G27"/>
    <mergeCell ref="B28:I28"/>
    <mergeCell ref="B29:I29"/>
    <mergeCell ref="A30:A31"/>
    <mergeCell ref="B30:I30"/>
    <mergeCell ref="B31:C31"/>
    <mergeCell ref="B32:C32"/>
    <mergeCell ref="B33:C33"/>
    <mergeCell ref="B34:C34"/>
    <mergeCell ref="B36:I36"/>
    <mergeCell ref="B37:C37"/>
    <mergeCell ref="B26:F26"/>
    <mergeCell ref="C10:I10"/>
    <mergeCell ref="C11:I11"/>
    <mergeCell ref="C12:E12"/>
    <mergeCell ref="F13:I13"/>
    <mergeCell ref="C14:I14"/>
    <mergeCell ref="C15:I15"/>
    <mergeCell ref="C16:E16"/>
    <mergeCell ref="B17:I17"/>
    <mergeCell ref="D19:E19"/>
    <mergeCell ref="C24:I24"/>
    <mergeCell ref="C25:I25"/>
    <mergeCell ref="A5:I5"/>
    <mergeCell ref="A6:I6"/>
    <mergeCell ref="A7:I7"/>
    <mergeCell ref="B8:I8"/>
    <mergeCell ref="B9:E9"/>
    <mergeCell ref="F9:I9"/>
    <mergeCell ref="A1:D1"/>
    <mergeCell ref="E1:I1"/>
    <mergeCell ref="A2:D2"/>
    <mergeCell ref="E2:I2"/>
    <mergeCell ref="A4:D4"/>
    <mergeCell ref="E4:I4"/>
  </mergeCells>
  <printOptions horizontalCentered="1"/>
  <pageMargins left="0.11811023622047245" right="0.11811023622047245" top="0.19685039370078741" bottom="0.15748031496062992" header="0.19685039370078741" footer="0.15748031496062992"/>
  <pageSetup paperSize="9" scale="80" orientation="portrait" r:id="rId1"/>
  <drawing r:id="rId2"/>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81"/>
  <sheetViews>
    <sheetView topLeftCell="A31" workbookViewId="0">
      <selection activeCell="D41" sqref="D41"/>
    </sheetView>
  </sheetViews>
  <sheetFormatPr defaultColWidth="9.140625" defaultRowHeight="16.5" x14ac:dyDescent="0.25"/>
  <cols>
    <col min="1" max="1" width="4.42578125" style="68" customWidth="1"/>
    <col min="2" max="2" width="27.140625" style="20" customWidth="1"/>
    <col min="3" max="3" width="8.42578125" style="20" customWidth="1"/>
    <col min="4" max="4" width="22.85546875" style="20" customWidth="1"/>
    <col min="5" max="5" width="10.7109375" style="288" customWidth="1"/>
    <col min="6" max="6" width="11.140625" style="20" customWidth="1"/>
    <col min="7" max="7" width="9.5703125" style="20" customWidth="1"/>
    <col min="8" max="8" width="15.140625" style="20" customWidth="1"/>
    <col min="9" max="9" width="15.7109375" style="120" customWidth="1"/>
    <col min="10" max="10" width="9.140625" style="20" customWidth="1"/>
    <col min="11" max="11" width="56.5703125" style="20" customWidth="1"/>
    <col min="12" max="12" width="11.5703125" style="20" customWidth="1"/>
    <col min="13" max="19" width="9.140625" style="20" customWidth="1"/>
    <col min="20" max="16384" width="9.140625" style="20"/>
  </cols>
  <sheetData>
    <row r="1" spans="1:17" s="36" customFormat="1" x14ac:dyDescent="0.25">
      <c r="A1" s="368" t="s">
        <v>98</v>
      </c>
      <c r="B1" s="368"/>
      <c r="C1" s="368"/>
      <c r="D1" s="368"/>
      <c r="E1" s="368" t="s">
        <v>0</v>
      </c>
      <c r="F1" s="368"/>
      <c r="G1" s="368"/>
      <c r="H1" s="368"/>
      <c r="I1" s="368"/>
    </row>
    <row r="2" spans="1:17" s="36" customFormat="1" x14ac:dyDescent="0.25">
      <c r="A2" s="369" t="s">
        <v>99</v>
      </c>
      <c r="B2" s="369"/>
      <c r="C2" s="369"/>
      <c r="D2" s="369"/>
      <c r="E2" s="369" t="s">
        <v>1</v>
      </c>
      <c r="F2" s="368"/>
      <c r="G2" s="368"/>
      <c r="H2" s="368"/>
      <c r="I2" s="368"/>
    </row>
    <row r="3" spans="1:17" s="36" customFormat="1" ht="15.75" customHeight="1" x14ac:dyDescent="0.25">
      <c r="A3" s="281"/>
      <c r="B3" s="291"/>
      <c r="C3" s="281"/>
      <c r="D3" s="281"/>
      <c r="E3" s="281"/>
      <c r="F3" s="281"/>
      <c r="G3" s="281"/>
      <c r="H3" s="281"/>
      <c r="I3" s="37"/>
    </row>
    <row r="4" spans="1:17" s="36" customFormat="1" ht="21.75" customHeight="1" x14ac:dyDescent="0.25">
      <c r="A4" s="369" t="s">
        <v>89</v>
      </c>
      <c r="B4" s="369"/>
      <c r="C4" s="369"/>
      <c r="D4" s="369"/>
      <c r="E4" s="370" t="s">
        <v>185</v>
      </c>
      <c r="F4" s="370"/>
      <c r="G4" s="370"/>
      <c r="H4" s="370"/>
      <c r="I4" s="370"/>
    </row>
    <row r="5" spans="1:17" s="40" customFormat="1" ht="24" customHeight="1" x14ac:dyDescent="0.25">
      <c r="A5" s="371" t="s">
        <v>85</v>
      </c>
      <c r="B5" s="371"/>
      <c r="C5" s="371"/>
      <c r="D5" s="371"/>
      <c r="E5" s="371"/>
      <c r="F5" s="371"/>
      <c r="G5" s="371"/>
      <c r="H5" s="371"/>
      <c r="I5" s="371"/>
    </row>
    <row r="6" spans="1:17" s="40" customFormat="1" ht="35.450000000000003" customHeight="1" x14ac:dyDescent="0.25">
      <c r="A6" s="372" t="s">
        <v>86</v>
      </c>
      <c r="B6" s="372"/>
      <c r="C6" s="372"/>
      <c r="D6" s="372"/>
      <c r="E6" s="372"/>
      <c r="F6" s="372"/>
      <c r="G6" s="372"/>
      <c r="H6" s="372"/>
      <c r="I6" s="372"/>
      <c r="Q6" s="41"/>
    </row>
    <row r="7" spans="1:17" s="40" customFormat="1" ht="33" customHeight="1" x14ac:dyDescent="0.25">
      <c r="A7" s="373" t="s">
        <v>207</v>
      </c>
      <c r="B7" s="373"/>
      <c r="C7" s="373"/>
      <c r="D7" s="373"/>
      <c r="E7" s="373"/>
      <c r="F7" s="373"/>
      <c r="G7" s="373"/>
      <c r="H7" s="373"/>
      <c r="I7" s="373"/>
    </row>
    <row r="8" spans="1:17" s="280" customFormat="1" ht="20.100000000000001" customHeight="1" x14ac:dyDescent="0.25">
      <c r="A8" s="279" t="s">
        <v>2</v>
      </c>
      <c r="B8" s="362" t="s">
        <v>3</v>
      </c>
      <c r="C8" s="362"/>
      <c r="D8" s="362"/>
      <c r="E8" s="362"/>
      <c r="F8" s="362"/>
      <c r="G8" s="362"/>
      <c r="H8" s="362"/>
      <c r="I8" s="362"/>
    </row>
    <row r="9" spans="1:17" s="280" customFormat="1" ht="20.100000000000001" customHeight="1" x14ac:dyDescent="0.25">
      <c r="A9" s="279" t="s">
        <v>4</v>
      </c>
      <c r="B9" s="374" t="s">
        <v>5</v>
      </c>
      <c r="C9" s="374"/>
      <c r="D9" s="374"/>
      <c r="E9" s="374"/>
      <c r="F9" s="365" t="s">
        <v>536</v>
      </c>
      <c r="G9" s="365"/>
      <c r="H9" s="365"/>
      <c r="I9" s="365"/>
    </row>
    <row r="10" spans="1:17" s="280" customFormat="1" ht="20.100000000000001" customHeight="1" x14ac:dyDescent="0.25">
      <c r="A10" s="122"/>
      <c r="B10" s="24" t="s">
        <v>6</v>
      </c>
      <c r="C10" s="365" t="s">
        <v>525</v>
      </c>
      <c r="D10" s="365"/>
      <c r="E10" s="365"/>
      <c r="F10" s="365"/>
      <c r="G10" s="365"/>
      <c r="H10" s="365"/>
      <c r="I10" s="365"/>
    </row>
    <row r="11" spans="1:17" s="280" customFormat="1" ht="20.100000000000001" customHeight="1" x14ac:dyDescent="0.25">
      <c r="A11" s="122"/>
      <c r="B11" s="24" t="s">
        <v>7</v>
      </c>
      <c r="C11" s="365" t="s">
        <v>526</v>
      </c>
      <c r="D11" s="365"/>
      <c r="E11" s="365"/>
      <c r="F11" s="365"/>
      <c r="G11" s="365"/>
      <c r="H11" s="365"/>
      <c r="I11" s="365"/>
    </row>
    <row r="12" spans="1:17" s="280" customFormat="1" ht="20.100000000000001" customHeight="1" x14ac:dyDescent="0.25">
      <c r="A12" s="122"/>
      <c r="B12" s="24" t="s">
        <v>11</v>
      </c>
      <c r="C12" s="361" t="s">
        <v>527</v>
      </c>
      <c r="D12" s="361"/>
      <c r="E12" s="361"/>
      <c r="F12" s="43"/>
      <c r="G12" s="43"/>
      <c r="H12" s="43"/>
      <c r="I12" s="43"/>
    </row>
    <row r="13" spans="1:17" s="280" customFormat="1" ht="20.100000000000001" customHeight="1" x14ac:dyDescent="0.25">
      <c r="A13" s="279" t="s">
        <v>9</v>
      </c>
      <c r="B13" s="44" t="s">
        <v>10</v>
      </c>
      <c r="E13" s="43"/>
      <c r="F13" s="362" t="str">
        <f>F9</f>
        <v xml:space="preserve">Trần Huy Chuyển </v>
      </c>
      <c r="G13" s="362"/>
      <c r="H13" s="362"/>
      <c r="I13" s="362"/>
      <c r="J13" s="143"/>
    </row>
    <row r="14" spans="1:17" s="280" customFormat="1" ht="20.100000000000001" customHeight="1" x14ac:dyDescent="0.25">
      <c r="A14" s="122"/>
      <c r="B14" s="24" t="s">
        <v>6</v>
      </c>
      <c r="C14" s="365" t="str">
        <f>+C10</f>
        <v>Thôn Yên Kiện Đồi - xã Phú Nghĩa - TP Hà Nội</v>
      </c>
      <c r="D14" s="365"/>
      <c r="E14" s="365"/>
      <c r="F14" s="365"/>
      <c r="G14" s="365"/>
      <c r="H14" s="365"/>
      <c r="I14" s="365"/>
    </row>
    <row r="15" spans="1:17" s="280" customFormat="1" ht="20.100000000000001" customHeight="1" x14ac:dyDescent="0.25">
      <c r="A15" s="122"/>
      <c r="B15" s="24" t="s">
        <v>7</v>
      </c>
      <c r="C15" s="365" t="str">
        <f>C11</f>
        <v>Thôn Lương Sơn - xã Phú Nghĩa - TP Hà Nội</v>
      </c>
      <c r="D15" s="365"/>
      <c r="E15" s="365"/>
      <c r="F15" s="365"/>
      <c r="G15" s="365"/>
      <c r="H15" s="365"/>
      <c r="I15" s="365"/>
    </row>
    <row r="16" spans="1:17" s="280" customFormat="1" ht="20.100000000000001" customHeight="1" x14ac:dyDescent="0.25">
      <c r="A16" s="122"/>
      <c r="B16" s="24" t="s">
        <v>11</v>
      </c>
      <c r="C16" s="361" t="str">
        <f>+C12</f>
        <v>001058021024</v>
      </c>
      <c r="D16" s="361"/>
      <c r="E16" s="361"/>
      <c r="F16" s="43"/>
      <c r="G16" s="43"/>
      <c r="H16" s="43"/>
      <c r="I16" s="43"/>
    </row>
    <row r="17" spans="1:19" s="280" customFormat="1" ht="20.100000000000001" customHeight="1" x14ac:dyDescent="0.25">
      <c r="A17" s="279" t="s">
        <v>12</v>
      </c>
      <c r="B17" s="362" t="s">
        <v>13</v>
      </c>
      <c r="C17" s="362"/>
      <c r="D17" s="362"/>
      <c r="E17" s="362"/>
      <c r="F17" s="362"/>
      <c r="G17" s="362"/>
      <c r="H17" s="362"/>
      <c r="I17" s="362"/>
    </row>
    <row r="18" spans="1:19" s="280" customFormat="1" ht="20.100000000000001" customHeight="1" x14ac:dyDescent="0.25">
      <c r="A18" s="279" t="s">
        <v>4</v>
      </c>
      <c r="B18" s="46" t="s">
        <v>14</v>
      </c>
      <c r="E18" s="43"/>
    </row>
    <row r="19" spans="1:19" s="51" customFormat="1" ht="20.100000000000001" customHeight="1" x14ac:dyDescent="0.25">
      <c r="A19" s="123"/>
      <c r="B19" s="47" t="s">
        <v>15</v>
      </c>
      <c r="C19" s="144">
        <v>37</v>
      </c>
      <c r="D19" s="363" t="s">
        <v>16</v>
      </c>
      <c r="E19" s="363"/>
      <c r="F19" s="49" t="s">
        <v>493</v>
      </c>
      <c r="G19" s="50"/>
      <c r="I19" s="50"/>
    </row>
    <row r="20" spans="1:19" s="51" customFormat="1" ht="20.100000000000001" customHeight="1" x14ac:dyDescent="0.25">
      <c r="A20" s="123"/>
      <c r="B20" s="47" t="s">
        <v>17</v>
      </c>
      <c r="C20" s="52">
        <v>113.5</v>
      </c>
      <c r="D20" s="50" t="s">
        <v>105</v>
      </c>
      <c r="E20" s="53"/>
      <c r="F20" s="54"/>
      <c r="H20" s="55"/>
      <c r="I20" s="50"/>
    </row>
    <row r="21" spans="1:19" s="51" customFormat="1" ht="20.100000000000001" customHeight="1" x14ac:dyDescent="0.25">
      <c r="A21" s="123"/>
      <c r="B21" s="56" t="s">
        <v>18</v>
      </c>
      <c r="C21" s="57"/>
      <c r="D21" s="50"/>
      <c r="E21" s="53"/>
      <c r="F21" s="50"/>
      <c r="H21" s="55"/>
      <c r="I21" s="50"/>
    </row>
    <row r="22" spans="1:19" s="51" customFormat="1" ht="20.100000000000001" customHeight="1" x14ac:dyDescent="0.25">
      <c r="A22" s="123"/>
      <c r="B22" s="47" t="s">
        <v>19</v>
      </c>
      <c r="C22" s="52">
        <v>49.6</v>
      </c>
      <c r="D22" s="50" t="s">
        <v>105</v>
      </c>
      <c r="E22" s="53"/>
      <c r="F22" s="50"/>
      <c r="H22" s="55"/>
      <c r="I22" s="50"/>
    </row>
    <row r="23" spans="1:19" s="51" customFormat="1" ht="20.100000000000001" customHeight="1" x14ac:dyDescent="0.25">
      <c r="A23" s="123"/>
      <c r="B23" s="47" t="s">
        <v>20</v>
      </c>
      <c r="C23" s="57">
        <f>C20-C22</f>
        <v>63.9</v>
      </c>
      <c r="D23" s="50" t="s">
        <v>105</v>
      </c>
      <c r="E23" s="53"/>
      <c r="F23" s="50"/>
      <c r="H23" s="55"/>
      <c r="I23" s="50"/>
    </row>
    <row r="24" spans="1:19" s="280" customFormat="1" ht="21" customHeight="1" x14ac:dyDescent="0.25">
      <c r="A24" s="122"/>
      <c r="B24" s="24" t="s">
        <v>21</v>
      </c>
      <c r="C24" s="362" t="s">
        <v>529</v>
      </c>
      <c r="D24" s="362"/>
      <c r="E24" s="362"/>
      <c r="F24" s="362"/>
      <c r="G24" s="362"/>
      <c r="H24" s="362"/>
      <c r="I24" s="362"/>
    </row>
    <row r="25" spans="1:19" s="36" customFormat="1" ht="207" customHeight="1" x14ac:dyDescent="0.25">
      <c r="A25" s="281" t="s">
        <v>9</v>
      </c>
      <c r="B25" s="284" t="s">
        <v>73</v>
      </c>
      <c r="C25" s="366" t="s">
        <v>594</v>
      </c>
      <c r="D25" s="367"/>
      <c r="E25" s="367"/>
      <c r="F25" s="367"/>
      <c r="G25" s="367"/>
      <c r="H25" s="367"/>
      <c r="I25" s="367"/>
      <c r="J25" s="133"/>
      <c r="K25" s="133"/>
      <c r="L25" s="59"/>
      <c r="M25" s="59"/>
      <c r="N25" s="59"/>
      <c r="O25" s="59"/>
      <c r="P25" s="59"/>
      <c r="Q25" s="59"/>
      <c r="R25" s="59"/>
      <c r="S25" s="59"/>
    </row>
    <row r="26" spans="1:19" s="36" customFormat="1" ht="21" customHeight="1" x14ac:dyDescent="0.25">
      <c r="A26" s="281" t="s">
        <v>22</v>
      </c>
      <c r="B26" s="364" t="s">
        <v>82</v>
      </c>
      <c r="C26" s="364"/>
      <c r="D26" s="364"/>
      <c r="E26" s="364"/>
      <c r="F26" s="364"/>
      <c r="G26" s="282"/>
      <c r="H26" s="149" t="s">
        <v>112</v>
      </c>
      <c r="I26" s="282" t="s">
        <v>55</v>
      </c>
      <c r="J26" s="142"/>
      <c r="K26" s="142"/>
      <c r="L26" s="59"/>
      <c r="M26" s="59"/>
      <c r="N26" s="59"/>
      <c r="O26" s="59"/>
      <c r="P26" s="59"/>
      <c r="Q26" s="59"/>
      <c r="R26" s="59"/>
      <c r="S26" s="59"/>
    </row>
    <row r="27" spans="1:19" s="36" customFormat="1" ht="23.25" customHeight="1" x14ac:dyDescent="0.25">
      <c r="A27" s="281" t="s">
        <v>23</v>
      </c>
      <c r="B27" s="364" t="s">
        <v>65</v>
      </c>
      <c r="C27" s="364"/>
      <c r="D27" s="364"/>
      <c r="E27" s="364"/>
      <c r="F27" s="364"/>
      <c r="G27" s="364"/>
      <c r="H27" s="148" t="s">
        <v>128</v>
      </c>
      <c r="I27" s="282" t="s">
        <v>84</v>
      </c>
      <c r="J27" s="59"/>
      <c r="K27" s="59"/>
      <c r="L27" s="59"/>
      <c r="M27" s="59"/>
      <c r="N27" s="59"/>
      <c r="O27" s="59"/>
      <c r="P27" s="59"/>
      <c r="Q27" s="59"/>
      <c r="R27" s="59"/>
      <c r="S27" s="59"/>
    </row>
    <row r="28" spans="1:19" s="41" customFormat="1" x14ac:dyDescent="0.25">
      <c r="A28" s="281" t="s">
        <v>88</v>
      </c>
      <c r="B28" s="364" t="s">
        <v>87</v>
      </c>
      <c r="C28" s="364"/>
      <c r="D28" s="364"/>
      <c r="E28" s="364"/>
      <c r="F28" s="364"/>
      <c r="G28" s="364"/>
      <c r="H28" s="364"/>
      <c r="I28" s="364"/>
    </row>
    <row r="29" spans="1:19" s="40" customFormat="1" x14ac:dyDescent="0.25">
      <c r="A29" s="281" t="s">
        <v>4</v>
      </c>
      <c r="B29" s="360" t="s">
        <v>24</v>
      </c>
      <c r="C29" s="360"/>
      <c r="D29" s="360"/>
      <c r="E29" s="360"/>
      <c r="F29" s="360"/>
      <c r="G29" s="360"/>
      <c r="H29" s="360"/>
      <c r="I29" s="360"/>
      <c r="J29" s="41"/>
      <c r="K29" s="41"/>
      <c r="L29" s="41"/>
      <c r="M29" s="41"/>
      <c r="N29" s="41"/>
      <c r="O29" s="41"/>
      <c r="P29" s="41"/>
      <c r="Q29" s="41"/>
      <c r="R29" s="41"/>
      <c r="S29" s="41"/>
    </row>
    <row r="30" spans="1:19" s="24" customFormat="1" ht="32.25" customHeight="1" x14ac:dyDescent="0.25">
      <c r="A30" s="351" t="s">
        <v>25</v>
      </c>
      <c r="B30" s="353" t="s">
        <v>26</v>
      </c>
      <c r="C30" s="354"/>
      <c r="D30" s="354"/>
      <c r="E30" s="354"/>
      <c r="F30" s="354"/>
      <c r="G30" s="354"/>
      <c r="H30" s="354"/>
      <c r="I30" s="355"/>
    </row>
    <row r="31" spans="1:19" s="25" customFormat="1" ht="49.5" x14ac:dyDescent="0.25">
      <c r="A31" s="352"/>
      <c r="B31" s="353" t="s">
        <v>27</v>
      </c>
      <c r="C31" s="355"/>
      <c r="D31" s="21" t="s">
        <v>28</v>
      </c>
      <c r="E31" s="22" t="s">
        <v>29</v>
      </c>
      <c r="F31" s="22" t="s">
        <v>30</v>
      </c>
      <c r="G31" s="21" t="s">
        <v>31</v>
      </c>
      <c r="H31" s="22" t="s">
        <v>104</v>
      </c>
      <c r="I31" s="22" t="s">
        <v>33</v>
      </c>
    </row>
    <row r="32" spans="1:19" s="62" customFormat="1" ht="18.75" customHeight="1" x14ac:dyDescent="0.25">
      <c r="A32" s="61">
        <v>1</v>
      </c>
      <c r="B32" s="356">
        <v>2</v>
      </c>
      <c r="C32" s="357"/>
      <c r="D32" s="61">
        <v>3</v>
      </c>
      <c r="E32" s="61">
        <v>4</v>
      </c>
      <c r="F32" s="61">
        <v>5</v>
      </c>
      <c r="G32" s="61">
        <v>6</v>
      </c>
      <c r="H32" s="61">
        <v>7</v>
      </c>
      <c r="I32" s="61">
        <v>8</v>
      </c>
    </row>
    <row r="33" spans="1:9" s="68" customFormat="1" ht="33.75" customHeight="1" x14ac:dyDescent="0.25">
      <c r="A33" s="63">
        <v>1</v>
      </c>
      <c r="B33" s="358" t="s">
        <v>565</v>
      </c>
      <c r="C33" s="359"/>
      <c r="D33" s="64" t="s">
        <v>106</v>
      </c>
      <c r="E33" s="65">
        <f>C22</f>
        <v>49.6</v>
      </c>
      <c r="F33" s="63"/>
      <c r="G33" s="66"/>
      <c r="H33" s="63">
        <f>E33*F33*G33</f>
        <v>0</v>
      </c>
      <c r="I33" s="67"/>
    </row>
    <row r="34" spans="1:9" s="71" customFormat="1" ht="25.5" customHeight="1" x14ac:dyDescent="0.25">
      <c r="A34" s="69"/>
      <c r="B34" s="349" t="s">
        <v>34</v>
      </c>
      <c r="C34" s="350"/>
      <c r="D34" s="69"/>
      <c r="E34" s="69"/>
      <c r="F34" s="69"/>
      <c r="G34" s="69"/>
      <c r="H34" s="70">
        <f>SUM(H33:H33)</f>
        <v>0</v>
      </c>
      <c r="I34" s="69"/>
    </row>
    <row r="35" spans="1:9" ht="5.25" customHeight="1" x14ac:dyDescent="0.25">
      <c r="A35" s="77"/>
      <c r="B35" s="72"/>
      <c r="C35" s="72"/>
      <c r="D35" s="73"/>
      <c r="E35" s="73"/>
      <c r="F35" s="73"/>
      <c r="G35" s="73"/>
      <c r="H35" s="73"/>
      <c r="I35" s="73"/>
    </row>
    <row r="36" spans="1:9" x14ac:dyDescent="0.25">
      <c r="A36" s="75" t="s">
        <v>9</v>
      </c>
      <c r="B36" s="360" t="s">
        <v>35</v>
      </c>
      <c r="C36" s="360"/>
      <c r="D36" s="360"/>
      <c r="E36" s="360"/>
      <c r="F36" s="360"/>
      <c r="G36" s="360"/>
      <c r="H36" s="360"/>
      <c r="I36" s="360"/>
    </row>
    <row r="37" spans="1:9" s="288" customFormat="1" ht="49.5" x14ac:dyDescent="0.25">
      <c r="A37" s="29" t="s">
        <v>25</v>
      </c>
      <c r="B37" s="353" t="s">
        <v>27</v>
      </c>
      <c r="C37" s="355"/>
      <c r="D37" s="21" t="s">
        <v>28</v>
      </c>
      <c r="E37" s="22" t="s">
        <v>29</v>
      </c>
      <c r="F37" s="22" t="s">
        <v>30</v>
      </c>
      <c r="G37" s="21" t="s">
        <v>31</v>
      </c>
      <c r="H37" s="22" t="s">
        <v>32</v>
      </c>
      <c r="I37" s="22" t="s">
        <v>33</v>
      </c>
    </row>
    <row r="38" spans="1:9" s="62" customFormat="1" ht="18" customHeight="1" x14ac:dyDescent="0.25">
      <c r="A38" s="61">
        <v>1</v>
      </c>
      <c r="B38" s="356">
        <v>2</v>
      </c>
      <c r="C38" s="357"/>
      <c r="D38" s="61">
        <v>3</v>
      </c>
      <c r="E38" s="61">
        <v>4</v>
      </c>
      <c r="F38" s="61">
        <v>5</v>
      </c>
      <c r="G38" s="61">
        <v>6</v>
      </c>
      <c r="H38" s="61">
        <v>7</v>
      </c>
      <c r="I38" s="61">
        <v>8</v>
      </c>
    </row>
    <row r="39" spans="1:9" ht="36" customHeight="1" x14ac:dyDescent="0.25">
      <c r="A39" s="26">
        <v>1</v>
      </c>
      <c r="B39" s="353"/>
      <c r="C39" s="355"/>
      <c r="D39" s="27"/>
      <c r="E39" s="22"/>
      <c r="F39" s="27"/>
      <c r="G39" s="27"/>
      <c r="H39" s="27"/>
      <c r="I39" s="26" t="s">
        <v>36</v>
      </c>
    </row>
    <row r="40" spans="1:9" s="71" customFormat="1" ht="18" customHeight="1" x14ac:dyDescent="0.25">
      <c r="A40" s="69"/>
      <c r="B40" s="349" t="s">
        <v>34</v>
      </c>
      <c r="C40" s="350"/>
      <c r="D40" s="74"/>
      <c r="E40" s="69"/>
      <c r="F40" s="74"/>
      <c r="G40" s="74"/>
      <c r="H40" s="74"/>
      <c r="I40" s="69"/>
    </row>
    <row r="41" spans="1:9" x14ac:dyDescent="0.25">
      <c r="A41" s="124"/>
      <c r="B41" s="75"/>
      <c r="C41" s="75"/>
      <c r="D41" s="283"/>
      <c r="E41" s="75"/>
      <c r="F41" s="283"/>
      <c r="G41" s="283"/>
      <c r="H41" s="283"/>
      <c r="I41" s="75"/>
    </row>
    <row r="42" spans="1:9" x14ac:dyDescent="0.25">
      <c r="A42" s="324"/>
      <c r="B42" s="327" t="s">
        <v>37</v>
      </c>
      <c r="C42" s="328"/>
      <c r="D42" s="328"/>
      <c r="E42" s="328"/>
      <c r="F42" s="328"/>
      <c r="G42" s="329"/>
      <c r="H42" s="27"/>
      <c r="I42" s="26" t="s">
        <v>74</v>
      </c>
    </row>
    <row r="43" spans="1:9" x14ac:dyDescent="0.25">
      <c r="A43" s="325"/>
      <c r="B43" s="330" t="s">
        <v>38</v>
      </c>
      <c r="C43" s="331"/>
      <c r="D43" s="331"/>
      <c r="E43" s="331"/>
      <c r="F43" s="331"/>
      <c r="G43" s="332"/>
      <c r="H43" s="27"/>
      <c r="I43" s="26" t="s">
        <v>74</v>
      </c>
    </row>
    <row r="44" spans="1:9" x14ac:dyDescent="0.25">
      <c r="A44" s="326"/>
      <c r="B44" s="333" t="s">
        <v>39</v>
      </c>
      <c r="C44" s="334"/>
      <c r="D44" s="334"/>
      <c r="E44" s="334"/>
      <c r="F44" s="334"/>
      <c r="G44" s="335"/>
      <c r="H44" s="27"/>
      <c r="I44" s="26" t="s">
        <v>74</v>
      </c>
    </row>
    <row r="45" spans="1:9" ht="9.75" customHeight="1" x14ac:dyDescent="0.25">
      <c r="A45" s="77"/>
      <c r="B45" s="72"/>
      <c r="C45" s="72"/>
      <c r="D45" s="72"/>
      <c r="E45" s="78"/>
      <c r="F45" s="72"/>
      <c r="G45" s="72"/>
      <c r="H45" s="79"/>
      <c r="I45" s="79"/>
    </row>
    <row r="46" spans="1:9" ht="20.25" customHeight="1" x14ac:dyDescent="0.25">
      <c r="A46" s="125" t="s">
        <v>22</v>
      </c>
      <c r="B46" s="336" t="s">
        <v>40</v>
      </c>
      <c r="C46" s="336"/>
      <c r="D46" s="336"/>
      <c r="E46" s="336"/>
      <c r="F46" s="336"/>
      <c r="G46" s="336"/>
      <c r="H46" s="285"/>
      <c r="I46" s="81"/>
    </row>
    <row r="47" spans="1:9" s="30" customFormat="1" ht="49.5" x14ac:dyDescent="0.25">
      <c r="A47" s="21" t="s">
        <v>25</v>
      </c>
      <c r="B47" s="21" t="s">
        <v>41</v>
      </c>
      <c r="C47" s="21" t="s">
        <v>28</v>
      </c>
      <c r="D47" s="21" t="s">
        <v>42</v>
      </c>
      <c r="E47" s="21" t="s">
        <v>43</v>
      </c>
      <c r="F47" s="22" t="s">
        <v>111</v>
      </c>
      <c r="G47" s="21" t="s">
        <v>31</v>
      </c>
      <c r="H47" s="21" t="s">
        <v>45</v>
      </c>
      <c r="I47" s="21" t="s">
        <v>33</v>
      </c>
    </row>
    <row r="48" spans="1:9" s="83" customFormat="1" ht="18" customHeight="1" x14ac:dyDescent="0.25">
      <c r="A48" s="82">
        <v>1</v>
      </c>
      <c r="B48" s="82">
        <v>2</v>
      </c>
      <c r="C48" s="82">
        <v>3</v>
      </c>
      <c r="D48" s="82">
        <v>4</v>
      </c>
      <c r="E48" s="82">
        <v>5</v>
      </c>
      <c r="F48" s="82">
        <v>6</v>
      </c>
      <c r="G48" s="82">
        <v>7</v>
      </c>
      <c r="H48" s="82">
        <v>8</v>
      </c>
      <c r="I48" s="82">
        <v>9</v>
      </c>
    </row>
    <row r="49" spans="1:12" s="89" customFormat="1" ht="30" customHeight="1" x14ac:dyDescent="0.25">
      <c r="A49" s="21" t="s">
        <v>46</v>
      </c>
      <c r="B49" s="84" t="s">
        <v>47</v>
      </c>
      <c r="C49" s="85"/>
      <c r="D49" s="85"/>
      <c r="E49" s="86"/>
      <c r="F49" s="85"/>
      <c r="G49" s="85"/>
      <c r="H49" s="292">
        <f>SUM(H50:H57)</f>
        <v>0</v>
      </c>
      <c r="I49" s="88"/>
    </row>
    <row r="50" spans="1:12" s="89" customFormat="1" ht="84" customHeight="1" x14ac:dyDescent="0.25">
      <c r="A50" s="286">
        <v>1</v>
      </c>
      <c r="B50" s="91" t="s">
        <v>537</v>
      </c>
      <c r="C50" s="64" t="s">
        <v>106</v>
      </c>
      <c r="D50" s="96" t="s">
        <v>538</v>
      </c>
      <c r="E50" s="234">
        <f>(4.93+4.78)/2*9.5</f>
        <v>46.122500000000002</v>
      </c>
      <c r="F50" s="93"/>
      <c r="G50" s="93"/>
      <c r="H50" s="94"/>
      <c r="I50" s="347" t="s">
        <v>110</v>
      </c>
    </row>
    <row r="51" spans="1:12" s="89" customFormat="1" ht="39.75" customHeight="1" x14ac:dyDescent="0.25">
      <c r="A51" s="286"/>
      <c r="B51" s="132" t="s">
        <v>120</v>
      </c>
      <c r="C51" s="64" t="s">
        <v>106</v>
      </c>
      <c r="D51" s="96" t="s">
        <v>539</v>
      </c>
      <c r="E51" s="234">
        <f>(1.15+3.2)/2*4.93</f>
        <v>10.722749999999998</v>
      </c>
      <c r="F51" s="93"/>
      <c r="G51" s="93"/>
      <c r="H51" s="94"/>
      <c r="I51" s="348"/>
    </row>
    <row r="52" spans="1:12" s="89" customFormat="1" ht="40.5" customHeight="1" x14ac:dyDescent="0.25">
      <c r="A52" s="286"/>
      <c r="B52" s="132" t="s">
        <v>109</v>
      </c>
      <c r="C52" s="64" t="s">
        <v>106</v>
      </c>
      <c r="D52" s="96"/>
      <c r="E52" s="92">
        <f>E50-E51</f>
        <v>35.399750000000004</v>
      </c>
      <c r="F52" s="93"/>
      <c r="G52" s="93"/>
      <c r="H52" s="94"/>
      <c r="I52" s="348"/>
    </row>
    <row r="53" spans="1:12" s="89" customFormat="1" ht="40.5" customHeight="1" x14ac:dyDescent="0.25">
      <c r="A53" s="286">
        <v>2</v>
      </c>
      <c r="B53" s="132" t="s">
        <v>540</v>
      </c>
      <c r="C53" s="64" t="s">
        <v>106</v>
      </c>
      <c r="D53" s="96" t="s">
        <v>549</v>
      </c>
      <c r="E53" s="92">
        <f>C22-E52</f>
        <v>14.200249999999997</v>
      </c>
      <c r="F53" s="93"/>
      <c r="G53" s="93"/>
      <c r="H53" s="94"/>
      <c r="I53" s="348"/>
    </row>
    <row r="54" spans="1:12" s="89" customFormat="1" ht="34.9" customHeight="1" x14ac:dyDescent="0.25">
      <c r="A54" s="286">
        <v>3</v>
      </c>
      <c r="B54" s="132" t="s">
        <v>90</v>
      </c>
      <c r="C54" s="64" t="s">
        <v>106</v>
      </c>
      <c r="D54" s="96" t="s">
        <v>550</v>
      </c>
      <c r="E54" s="92"/>
      <c r="F54" s="93"/>
      <c r="G54" s="93"/>
      <c r="H54" s="94"/>
      <c r="I54" s="348"/>
    </row>
    <row r="55" spans="1:12" s="89" customFormat="1" ht="31.9" customHeight="1" x14ac:dyDescent="0.25">
      <c r="A55" s="286">
        <v>4</v>
      </c>
      <c r="B55" s="132" t="s">
        <v>96</v>
      </c>
      <c r="C55" s="64" t="s">
        <v>106</v>
      </c>
      <c r="D55" s="96" t="s">
        <v>551</v>
      </c>
      <c r="E55" s="92">
        <f>E50</f>
        <v>46.122500000000002</v>
      </c>
      <c r="F55" s="93"/>
      <c r="G55" s="93"/>
      <c r="H55" s="94"/>
      <c r="I55" s="348"/>
    </row>
    <row r="56" spans="1:12" s="89" customFormat="1" ht="30.6" customHeight="1" x14ac:dyDescent="0.25">
      <c r="A56" s="286">
        <v>5</v>
      </c>
      <c r="B56" s="132" t="s">
        <v>541</v>
      </c>
      <c r="C56" s="64" t="s">
        <v>106</v>
      </c>
      <c r="D56" s="96" t="s">
        <v>552</v>
      </c>
      <c r="E56" s="92">
        <f>17*0.9</f>
        <v>15.3</v>
      </c>
      <c r="F56" s="93"/>
      <c r="G56" s="93"/>
      <c r="H56" s="94"/>
      <c r="I56" s="348"/>
    </row>
    <row r="57" spans="1:12" s="89" customFormat="1" ht="37.15" customHeight="1" x14ac:dyDescent="0.25">
      <c r="A57" s="286">
        <v>6</v>
      </c>
      <c r="B57" s="132" t="s">
        <v>542</v>
      </c>
      <c r="C57" s="64" t="s">
        <v>106</v>
      </c>
      <c r="D57" s="96" t="s">
        <v>553</v>
      </c>
      <c r="E57" s="92">
        <f>1.7*2.7</f>
        <v>4.59</v>
      </c>
      <c r="F57" s="93"/>
      <c r="G57" s="93"/>
      <c r="H57" s="94"/>
      <c r="I57" s="380"/>
    </row>
    <row r="58" spans="1:12" s="89" customFormat="1" ht="25.5" customHeight="1" x14ac:dyDescent="0.25">
      <c r="A58" s="21" t="s">
        <v>48</v>
      </c>
      <c r="B58" s="84" t="s">
        <v>49</v>
      </c>
      <c r="C58" s="85"/>
      <c r="D58" s="85"/>
      <c r="E58" s="92"/>
      <c r="F58" s="85"/>
      <c r="G58" s="85"/>
      <c r="H58" s="87">
        <f>SUM(H59:H59)</f>
        <v>0</v>
      </c>
      <c r="I58" s="95"/>
    </row>
    <row r="59" spans="1:12" s="89" customFormat="1" ht="30" customHeight="1" x14ac:dyDescent="0.25">
      <c r="A59" s="286"/>
      <c r="B59" s="91"/>
      <c r="C59" s="93"/>
      <c r="D59" s="286"/>
      <c r="E59" s="92"/>
      <c r="F59" s="97"/>
      <c r="G59" s="98"/>
      <c r="H59" s="97"/>
      <c r="I59" s="147"/>
    </row>
    <row r="60" spans="1:12" s="102" customFormat="1" ht="27.75" customHeight="1" x14ac:dyDescent="0.25">
      <c r="A60" s="126"/>
      <c r="B60" s="100" t="s">
        <v>50</v>
      </c>
      <c r="C60" s="100"/>
      <c r="D60" s="100"/>
      <c r="E60" s="100"/>
      <c r="F60" s="100"/>
      <c r="G60" s="100"/>
      <c r="H60" s="158">
        <f>H49+H58</f>
        <v>0</v>
      </c>
      <c r="I60" s="101"/>
    </row>
    <row r="61" spans="1:12" ht="22.5" customHeight="1" x14ac:dyDescent="0.25">
      <c r="A61" s="127">
        <v>4</v>
      </c>
      <c r="B61" s="337" t="s">
        <v>51</v>
      </c>
      <c r="C61" s="337"/>
      <c r="D61" s="337"/>
      <c r="E61" s="337"/>
      <c r="F61" s="337"/>
      <c r="G61" s="337"/>
      <c r="H61" s="51"/>
      <c r="I61" s="51"/>
    </row>
    <row r="62" spans="1:12" s="104" customFormat="1" ht="49.5" x14ac:dyDescent="0.25">
      <c r="A62" s="103" t="s">
        <v>25</v>
      </c>
      <c r="B62" s="338" t="s">
        <v>52</v>
      </c>
      <c r="C62" s="339"/>
      <c r="D62" s="21" t="s">
        <v>29</v>
      </c>
      <c r="E62" s="21" t="s">
        <v>53</v>
      </c>
      <c r="F62" s="21" t="s">
        <v>44</v>
      </c>
      <c r="G62" s="21" t="s">
        <v>54</v>
      </c>
      <c r="H62" s="21" t="s">
        <v>45</v>
      </c>
      <c r="I62" s="21" t="s">
        <v>33</v>
      </c>
    </row>
    <row r="63" spans="1:12" ht="24" customHeight="1" x14ac:dyDescent="0.25">
      <c r="A63" s="105"/>
      <c r="B63" s="340"/>
      <c r="C63" s="341"/>
      <c r="D63" s="106"/>
      <c r="E63" s="105"/>
      <c r="F63" s="107"/>
      <c r="G63" s="108"/>
      <c r="H63" s="108"/>
      <c r="I63" s="109"/>
      <c r="L63" s="110"/>
    </row>
    <row r="64" spans="1:12" s="112" customFormat="1" ht="27.75" customHeight="1" x14ac:dyDescent="0.25">
      <c r="A64" s="126"/>
      <c r="B64" s="342" t="s">
        <v>34</v>
      </c>
      <c r="C64" s="343"/>
      <c r="D64" s="100"/>
      <c r="E64" s="100"/>
      <c r="F64" s="100"/>
      <c r="G64" s="100"/>
      <c r="H64" s="163">
        <f>SUM(H63)</f>
        <v>0</v>
      </c>
      <c r="I64" s="111"/>
      <c r="L64" s="113"/>
    </row>
    <row r="65" spans="1:9" s="115" customFormat="1" ht="27.75" customHeight="1" x14ac:dyDescent="0.25">
      <c r="A65" s="128">
        <v>5</v>
      </c>
      <c r="B65" s="344" t="s">
        <v>56</v>
      </c>
      <c r="C65" s="344"/>
      <c r="D65" s="344"/>
      <c r="E65" s="344"/>
      <c r="F65" s="344"/>
      <c r="G65" s="345"/>
      <c r="H65" s="164">
        <f>H64+H60+H40+H34</f>
        <v>0</v>
      </c>
      <c r="I65" s="114" t="s">
        <v>57</v>
      </c>
    </row>
    <row r="66" spans="1:9" s="117" customFormat="1" ht="17.25" x14ac:dyDescent="0.25">
      <c r="A66" s="129"/>
      <c r="B66" s="116" t="s">
        <v>78</v>
      </c>
      <c r="C66" s="346" t="s">
        <v>91</v>
      </c>
      <c r="D66" s="346"/>
      <c r="E66" s="346"/>
      <c r="F66" s="346"/>
      <c r="G66" s="346"/>
      <c r="H66" s="346"/>
      <c r="I66" s="346"/>
    </row>
    <row r="67" spans="1:9" s="41" customFormat="1" ht="17.25" hidden="1" x14ac:dyDescent="0.3">
      <c r="A67" s="281"/>
      <c r="B67" s="118"/>
      <c r="E67" s="119"/>
      <c r="F67" s="316" t="s">
        <v>75</v>
      </c>
      <c r="G67" s="316"/>
      <c r="H67" s="316"/>
      <c r="I67" s="316"/>
    </row>
    <row r="68" spans="1:9" hidden="1" x14ac:dyDescent="0.25">
      <c r="F68" s="316" t="s">
        <v>76</v>
      </c>
      <c r="G68" s="316"/>
      <c r="H68" s="316"/>
      <c r="I68" s="316"/>
    </row>
    <row r="69" spans="1:9" hidden="1" x14ac:dyDescent="0.25">
      <c r="F69" s="317"/>
      <c r="G69" s="317"/>
      <c r="H69" s="317"/>
      <c r="I69" s="317"/>
    </row>
    <row r="70" spans="1:9" hidden="1" x14ac:dyDescent="0.25"/>
    <row r="71" spans="1:9" hidden="1" x14ac:dyDescent="0.25"/>
    <row r="72" spans="1:9" hidden="1" x14ac:dyDescent="0.25"/>
    <row r="73" spans="1:9" hidden="1" x14ac:dyDescent="0.25"/>
    <row r="74" spans="1:9" hidden="1" x14ac:dyDescent="0.25"/>
    <row r="75" spans="1:9" hidden="1" x14ac:dyDescent="0.25">
      <c r="F75" s="318" t="s">
        <v>77</v>
      </c>
      <c r="G75" s="318"/>
      <c r="H75" s="318"/>
      <c r="I75" s="318"/>
    </row>
    <row r="76" spans="1:9" ht="66.75" customHeight="1" x14ac:dyDescent="0.25">
      <c r="A76" s="387" t="s">
        <v>100</v>
      </c>
      <c r="B76" s="387"/>
      <c r="C76" s="387"/>
      <c r="D76" s="387"/>
      <c r="E76" s="387"/>
      <c r="F76" s="387"/>
      <c r="G76" s="387"/>
      <c r="H76" s="387"/>
      <c r="I76" s="387"/>
    </row>
    <row r="77" spans="1:9" x14ac:dyDescent="0.25">
      <c r="A77" s="315" t="s">
        <v>102</v>
      </c>
      <c r="B77" s="315"/>
      <c r="C77" s="315"/>
      <c r="D77" s="315"/>
      <c r="E77" s="315"/>
      <c r="F77" s="315"/>
      <c r="G77" s="315"/>
      <c r="H77" s="315"/>
      <c r="I77" s="315"/>
    </row>
    <row r="78" spans="1:9" x14ac:dyDescent="0.25">
      <c r="A78" s="388" t="s">
        <v>117</v>
      </c>
      <c r="B78" s="388"/>
      <c r="C78" s="388"/>
      <c r="D78" s="321"/>
      <c r="E78" s="322" t="s">
        <v>103</v>
      </c>
      <c r="F78" s="389"/>
      <c r="G78" s="389"/>
      <c r="H78" s="389"/>
      <c r="I78" s="389"/>
    </row>
    <row r="79" spans="1:9" x14ac:dyDescent="0.25">
      <c r="A79" s="388"/>
      <c r="B79" s="388"/>
      <c r="C79" s="388"/>
      <c r="D79" s="321"/>
      <c r="E79" s="322"/>
      <c r="F79" s="389"/>
      <c r="G79" s="389"/>
      <c r="H79" s="389"/>
      <c r="I79" s="389"/>
    </row>
    <row r="80" spans="1:9" x14ac:dyDescent="0.25">
      <c r="A80" s="388"/>
      <c r="B80" s="388"/>
      <c r="C80" s="388"/>
      <c r="D80" s="321"/>
      <c r="E80" s="293"/>
      <c r="F80" s="294"/>
      <c r="G80" s="294"/>
      <c r="H80" s="294"/>
      <c r="I80" s="294"/>
    </row>
    <row r="81" spans="1:9" x14ac:dyDescent="0.25">
      <c r="A81" s="315" t="s">
        <v>101</v>
      </c>
      <c r="B81" s="315"/>
      <c r="C81" s="315"/>
      <c r="D81" s="315"/>
      <c r="E81" s="315"/>
      <c r="F81" s="315"/>
      <c r="G81" s="315"/>
      <c r="H81" s="315"/>
      <c r="I81" s="315"/>
    </row>
  </sheetData>
  <mergeCells count="59">
    <mergeCell ref="A76:I76"/>
    <mergeCell ref="A77:I77"/>
    <mergeCell ref="A78:D80"/>
    <mergeCell ref="E78:I79"/>
    <mergeCell ref="A81:I81"/>
    <mergeCell ref="F75:I75"/>
    <mergeCell ref="B46:G46"/>
    <mergeCell ref="B61:G61"/>
    <mergeCell ref="B62:C62"/>
    <mergeCell ref="B63:C63"/>
    <mergeCell ref="B64:C64"/>
    <mergeCell ref="I50:I57"/>
    <mergeCell ref="B65:G65"/>
    <mergeCell ref="C66:I66"/>
    <mergeCell ref="F67:I67"/>
    <mergeCell ref="F68:I68"/>
    <mergeCell ref="F69:I69"/>
    <mergeCell ref="B39:C39"/>
    <mergeCell ref="B40:C40"/>
    <mergeCell ref="A42:A44"/>
    <mergeCell ref="B42:G42"/>
    <mergeCell ref="B43:G43"/>
    <mergeCell ref="B44:G44"/>
    <mergeCell ref="B38:C38"/>
    <mergeCell ref="B27:G27"/>
    <mergeCell ref="B28:I28"/>
    <mergeCell ref="B29:I29"/>
    <mergeCell ref="A30:A31"/>
    <mergeCell ref="B30:I30"/>
    <mergeCell ref="B31:C31"/>
    <mergeCell ref="B32:C32"/>
    <mergeCell ref="B33:C33"/>
    <mergeCell ref="B34:C34"/>
    <mergeCell ref="B36:I36"/>
    <mergeCell ref="B37:C37"/>
    <mergeCell ref="B26:F26"/>
    <mergeCell ref="C10:I10"/>
    <mergeCell ref="C11:I11"/>
    <mergeCell ref="C12:E12"/>
    <mergeCell ref="F13:I13"/>
    <mergeCell ref="C14:I14"/>
    <mergeCell ref="C15:I15"/>
    <mergeCell ref="C16:E16"/>
    <mergeCell ref="B17:I17"/>
    <mergeCell ref="D19:E19"/>
    <mergeCell ref="C24:I24"/>
    <mergeCell ref="C25:I25"/>
    <mergeCell ref="A5:I5"/>
    <mergeCell ref="A6:I6"/>
    <mergeCell ref="A7:I7"/>
    <mergeCell ref="B8:I8"/>
    <mergeCell ref="B9:E9"/>
    <mergeCell ref="F9:I9"/>
    <mergeCell ref="A1:D1"/>
    <mergeCell ref="E1:I1"/>
    <mergeCell ref="A2:D2"/>
    <mergeCell ref="E2:I2"/>
    <mergeCell ref="A4:D4"/>
    <mergeCell ref="E4:I4"/>
  </mergeCells>
  <printOptions horizontalCentered="1"/>
  <pageMargins left="0.11811023622047245" right="0.11811023622047245" top="0.19685039370078741" bottom="0.15748031496062992" header="0.19685039370078741" footer="0.15748031496062992"/>
  <pageSetup paperSize="9" scale="80" orientation="portrait"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81"/>
  <sheetViews>
    <sheetView topLeftCell="A52" workbookViewId="0">
      <selection activeCell="B38" sqref="B38:C38"/>
    </sheetView>
  </sheetViews>
  <sheetFormatPr defaultColWidth="9.140625" defaultRowHeight="16.5" x14ac:dyDescent="0.25"/>
  <cols>
    <col min="1" max="1" width="4.42578125" style="68" customWidth="1"/>
    <col min="2" max="2" width="27.140625" style="20" customWidth="1"/>
    <col min="3" max="3" width="8.42578125" style="20" customWidth="1"/>
    <col min="4" max="4" width="22.85546875" style="20" customWidth="1"/>
    <col min="5" max="5" width="10.7109375" style="303" customWidth="1"/>
    <col min="6" max="6" width="11.140625" style="20" customWidth="1"/>
    <col min="7" max="7" width="9.5703125" style="20" customWidth="1"/>
    <col min="8" max="8" width="15.140625" style="20" customWidth="1"/>
    <col min="9" max="9" width="15.7109375" style="120" customWidth="1"/>
    <col min="10" max="10" width="9.140625" style="20" customWidth="1"/>
    <col min="11" max="11" width="56.5703125" style="20" customWidth="1"/>
    <col min="12" max="12" width="11.5703125" style="20" customWidth="1"/>
    <col min="13" max="19" width="9.140625" style="20" customWidth="1"/>
    <col min="20" max="16384" width="9.140625" style="20"/>
  </cols>
  <sheetData>
    <row r="1" spans="1:17" s="36" customFormat="1" x14ac:dyDescent="0.25">
      <c r="A1" s="368" t="s">
        <v>98</v>
      </c>
      <c r="B1" s="368"/>
      <c r="C1" s="368"/>
      <c r="D1" s="368"/>
      <c r="E1" s="368" t="s">
        <v>0</v>
      </c>
      <c r="F1" s="368"/>
      <c r="G1" s="368"/>
      <c r="H1" s="368"/>
      <c r="I1" s="368"/>
    </row>
    <row r="2" spans="1:17" s="36" customFormat="1" x14ac:dyDescent="0.25">
      <c r="A2" s="369" t="s">
        <v>99</v>
      </c>
      <c r="B2" s="369"/>
      <c r="C2" s="369"/>
      <c r="D2" s="369"/>
      <c r="E2" s="369" t="s">
        <v>1</v>
      </c>
      <c r="F2" s="368"/>
      <c r="G2" s="368"/>
      <c r="H2" s="368"/>
      <c r="I2" s="368"/>
    </row>
    <row r="3" spans="1:17" s="36" customFormat="1" ht="15.75" customHeight="1" x14ac:dyDescent="0.25">
      <c r="A3" s="297"/>
      <c r="B3" s="291"/>
      <c r="C3" s="297"/>
      <c r="D3" s="297"/>
      <c r="E3" s="297"/>
      <c r="F3" s="297"/>
      <c r="G3" s="297"/>
      <c r="H3" s="297"/>
      <c r="I3" s="37"/>
    </row>
    <row r="4" spans="1:17" s="36" customFormat="1" ht="21.75" customHeight="1" x14ac:dyDescent="0.25">
      <c r="A4" s="369" t="s">
        <v>89</v>
      </c>
      <c r="B4" s="369"/>
      <c r="C4" s="369"/>
      <c r="D4" s="369"/>
      <c r="E4" s="370" t="s">
        <v>185</v>
      </c>
      <c r="F4" s="370"/>
      <c r="G4" s="370"/>
      <c r="H4" s="370"/>
      <c r="I4" s="370"/>
    </row>
    <row r="5" spans="1:17" s="40" customFormat="1" ht="24" customHeight="1" x14ac:dyDescent="0.25">
      <c r="A5" s="371" t="s">
        <v>85</v>
      </c>
      <c r="B5" s="371"/>
      <c r="C5" s="371"/>
      <c r="D5" s="371"/>
      <c r="E5" s="371"/>
      <c r="F5" s="371"/>
      <c r="G5" s="371"/>
      <c r="H5" s="371"/>
      <c r="I5" s="371"/>
    </row>
    <row r="6" spans="1:17" s="40" customFormat="1" ht="35.450000000000003" customHeight="1" x14ac:dyDescent="0.25">
      <c r="A6" s="372" t="s">
        <v>86</v>
      </c>
      <c r="B6" s="372"/>
      <c r="C6" s="372"/>
      <c r="D6" s="372"/>
      <c r="E6" s="372"/>
      <c r="F6" s="372"/>
      <c r="G6" s="372"/>
      <c r="H6" s="372"/>
      <c r="I6" s="372"/>
      <c r="Q6" s="41"/>
    </row>
    <row r="7" spans="1:17" s="40" customFormat="1" ht="33" customHeight="1" x14ac:dyDescent="0.25">
      <c r="A7" s="373" t="s">
        <v>207</v>
      </c>
      <c r="B7" s="373"/>
      <c r="C7" s="373"/>
      <c r="D7" s="373"/>
      <c r="E7" s="373"/>
      <c r="F7" s="373"/>
      <c r="G7" s="373"/>
      <c r="H7" s="373"/>
      <c r="I7" s="373"/>
    </row>
    <row r="8" spans="1:17" s="296" customFormat="1" ht="20.100000000000001" customHeight="1" x14ac:dyDescent="0.25">
      <c r="A8" s="295" t="s">
        <v>2</v>
      </c>
      <c r="B8" s="362" t="s">
        <v>3</v>
      </c>
      <c r="C8" s="362"/>
      <c r="D8" s="362"/>
      <c r="E8" s="362"/>
      <c r="F8" s="362"/>
      <c r="G8" s="362"/>
      <c r="H8" s="362"/>
      <c r="I8" s="362"/>
    </row>
    <row r="9" spans="1:17" s="296" customFormat="1" ht="20.100000000000001" customHeight="1" x14ac:dyDescent="0.25">
      <c r="A9" s="295" t="s">
        <v>4</v>
      </c>
      <c r="B9" s="374" t="s">
        <v>5</v>
      </c>
      <c r="C9" s="374"/>
      <c r="D9" s="374"/>
      <c r="E9" s="374"/>
      <c r="F9" s="365" t="s">
        <v>554</v>
      </c>
      <c r="G9" s="365"/>
      <c r="H9" s="365"/>
      <c r="I9" s="365"/>
    </row>
    <row r="10" spans="1:17" s="296" customFormat="1" ht="20.100000000000001" customHeight="1" x14ac:dyDescent="0.25">
      <c r="A10" s="122"/>
      <c r="B10" s="24" t="s">
        <v>6</v>
      </c>
      <c r="C10" s="365" t="s">
        <v>525</v>
      </c>
      <c r="D10" s="365"/>
      <c r="E10" s="365"/>
      <c r="F10" s="365"/>
      <c r="G10" s="365"/>
      <c r="H10" s="365"/>
      <c r="I10" s="365"/>
    </row>
    <row r="11" spans="1:17" s="296" customFormat="1" ht="20.100000000000001" customHeight="1" x14ac:dyDescent="0.25">
      <c r="A11" s="122"/>
      <c r="B11" s="24" t="s">
        <v>7</v>
      </c>
      <c r="C11" s="365" t="s">
        <v>525</v>
      </c>
      <c r="D11" s="365"/>
      <c r="E11" s="365"/>
      <c r="F11" s="365"/>
      <c r="G11" s="365"/>
      <c r="H11" s="365"/>
      <c r="I11" s="365"/>
    </row>
    <row r="12" spans="1:17" s="296" customFormat="1" ht="20.100000000000001" customHeight="1" x14ac:dyDescent="0.25">
      <c r="A12" s="122"/>
      <c r="B12" s="24" t="s">
        <v>11</v>
      </c>
      <c r="C12" s="361" t="s">
        <v>555</v>
      </c>
      <c r="D12" s="361"/>
      <c r="E12" s="361"/>
      <c r="F12" s="43"/>
      <c r="G12" s="43"/>
      <c r="H12" s="43"/>
      <c r="I12" s="43"/>
    </row>
    <row r="13" spans="1:17" s="296" customFormat="1" ht="20.100000000000001" customHeight="1" x14ac:dyDescent="0.25">
      <c r="A13" s="295" t="s">
        <v>9</v>
      </c>
      <c r="B13" s="44" t="s">
        <v>10</v>
      </c>
      <c r="E13" s="43"/>
      <c r="F13" s="362" t="str">
        <f>F9</f>
        <v>Nguyễn Thị Sinh</v>
      </c>
      <c r="G13" s="362"/>
      <c r="H13" s="362"/>
      <c r="I13" s="362"/>
      <c r="J13" s="143"/>
    </row>
    <row r="14" spans="1:17" s="296" customFormat="1" ht="20.100000000000001" customHeight="1" x14ac:dyDescent="0.25">
      <c r="A14" s="122"/>
      <c r="B14" s="24" t="s">
        <v>6</v>
      </c>
      <c r="C14" s="365" t="str">
        <f>+C10</f>
        <v>Thôn Yên Kiện Đồi - xã Phú Nghĩa - TP Hà Nội</v>
      </c>
      <c r="D14" s="365"/>
      <c r="E14" s="365"/>
      <c r="F14" s="365"/>
      <c r="G14" s="365"/>
      <c r="H14" s="365"/>
      <c r="I14" s="365"/>
    </row>
    <row r="15" spans="1:17" s="296" customFormat="1" ht="20.100000000000001" customHeight="1" x14ac:dyDescent="0.25">
      <c r="A15" s="122"/>
      <c r="B15" s="24" t="s">
        <v>7</v>
      </c>
      <c r="C15" s="365" t="str">
        <f>C11</f>
        <v>Thôn Yên Kiện Đồi - xã Phú Nghĩa - TP Hà Nội</v>
      </c>
      <c r="D15" s="365"/>
      <c r="E15" s="365"/>
      <c r="F15" s="365"/>
      <c r="G15" s="365"/>
      <c r="H15" s="365"/>
      <c r="I15" s="365"/>
    </row>
    <row r="16" spans="1:17" s="296" customFormat="1" ht="20.100000000000001" customHeight="1" x14ac:dyDescent="0.25">
      <c r="A16" s="122"/>
      <c r="B16" s="24" t="s">
        <v>11</v>
      </c>
      <c r="C16" s="361" t="str">
        <f>+C12</f>
        <v>001168051155</v>
      </c>
      <c r="D16" s="361"/>
      <c r="E16" s="361"/>
      <c r="F16" s="43"/>
      <c r="G16" s="43"/>
      <c r="H16" s="43"/>
      <c r="I16" s="43"/>
    </row>
    <row r="17" spans="1:19" s="296" customFormat="1" ht="20.100000000000001" customHeight="1" x14ac:dyDescent="0.25">
      <c r="A17" s="295" t="s">
        <v>12</v>
      </c>
      <c r="B17" s="362" t="s">
        <v>13</v>
      </c>
      <c r="C17" s="362"/>
      <c r="D17" s="362"/>
      <c r="E17" s="362"/>
      <c r="F17" s="362"/>
      <c r="G17" s="362"/>
      <c r="H17" s="362"/>
      <c r="I17" s="362"/>
    </row>
    <row r="18" spans="1:19" s="296" customFormat="1" ht="20.100000000000001" customHeight="1" x14ac:dyDescent="0.25">
      <c r="A18" s="295" t="s">
        <v>4</v>
      </c>
      <c r="B18" s="46" t="s">
        <v>14</v>
      </c>
      <c r="E18" s="43"/>
    </row>
    <row r="19" spans="1:19" s="51" customFormat="1" ht="20.100000000000001" customHeight="1" x14ac:dyDescent="0.25">
      <c r="A19" s="123"/>
      <c r="B19" s="47" t="s">
        <v>15</v>
      </c>
      <c r="C19" s="144">
        <v>16</v>
      </c>
      <c r="D19" s="363" t="s">
        <v>16</v>
      </c>
      <c r="E19" s="363"/>
      <c r="F19" s="49" t="s">
        <v>493</v>
      </c>
      <c r="G19" s="50"/>
      <c r="I19" s="50"/>
    </row>
    <row r="20" spans="1:19" s="51" customFormat="1" ht="20.100000000000001" customHeight="1" x14ac:dyDescent="0.25">
      <c r="A20" s="123"/>
      <c r="B20" s="47" t="s">
        <v>17</v>
      </c>
      <c r="C20" s="52">
        <v>175.7</v>
      </c>
      <c r="D20" s="50" t="s">
        <v>105</v>
      </c>
      <c r="E20" s="53"/>
      <c r="F20" s="54"/>
      <c r="H20" s="55"/>
      <c r="I20" s="50"/>
    </row>
    <row r="21" spans="1:19" s="51" customFormat="1" ht="20.100000000000001" customHeight="1" x14ac:dyDescent="0.25">
      <c r="A21" s="123"/>
      <c r="B21" s="56" t="s">
        <v>18</v>
      </c>
      <c r="C21" s="57"/>
      <c r="D21" s="50"/>
      <c r="E21" s="53"/>
      <c r="F21" s="50"/>
      <c r="H21" s="55"/>
      <c r="I21" s="50"/>
    </row>
    <row r="22" spans="1:19" s="51" customFormat="1" ht="20.100000000000001" customHeight="1" x14ac:dyDescent="0.25">
      <c r="A22" s="123"/>
      <c r="B22" s="47" t="s">
        <v>19</v>
      </c>
      <c r="C22" s="52">
        <v>57.7</v>
      </c>
      <c r="D22" s="50" t="s">
        <v>105</v>
      </c>
      <c r="E22" s="53"/>
      <c r="F22" s="50"/>
      <c r="H22" s="55"/>
      <c r="I22" s="50"/>
    </row>
    <row r="23" spans="1:19" s="51" customFormat="1" ht="20.100000000000001" customHeight="1" x14ac:dyDescent="0.25">
      <c r="A23" s="123"/>
      <c r="B23" s="47" t="s">
        <v>20</v>
      </c>
      <c r="C23" s="57">
        <f>C20-C22</f>
        <v>117.99999999999999</v>
      </c>
      <c r="D23" s="50" t="s">
        <v>105</v>
      </c>
      <c r="E23" s="53"/>
      <c r="F23" s="50"/>
      <c r="H23" s="55"/>
      <c r="I23" s="50"/>
    </row>
    <row r="24" spans="1:19" s="296" customFormat="1" ht="21" customHeight="1" x14ac:dyDescent="0.25">
      <c r="A24" s="122"/>
      <c r="B24" s="24" t="s">
        <v>21</v>
      </c>
      <c r="C24" s="362" t="s">
        <v>529</v>
      </c>
      <c r="D24" s="362"/>
      <c r="E24" s="362"/>
      <c r="F24" s="362"/>
      <c r="G24" s="362"/>
      <c r="H24" s="362"/>
      <c r="I24" s="362"/>
    </row>
    <row r="25" spans="1:19" s="36" customFormat="1" ht="250.5" customHeight="1" x14ac:dyDescent="0.25">
      <c r="A25" s="297" t="s">
        <v>9</v>
      </c>
      <c r="B25" s="300" t="s">
        <v>73</v>
      </c>
      <c r="C25" s="366" t="s">
        <v>595</v>
      </c>
      <c r="D25" s="367"/>
      <c r="E25" s="367"/>
      <c r="F25" s="367"/>
      <c r="G25" s="367"/>
      <c r="H25" s="367"/>
      <c r="I25" s="367"/>
      <c r="J25" s="133"/>
      <c r="K25" s="133"/>
      <c r="L25" s="133"/>
      <c r="M25" s="133"/>
      <c r="N25" s="59"/>
      <c r="O25" s="59"/>
      <c r="P25" s="59"/>
      <c r="Q25" s="59"/>
      <c r="R25" s="59"/>
      <c r="S25" s="59"/>
    </row>
    <row r="26" spans="1:19" s="36" customFormat="1" ht="21" customHeight="1" x14ac:dyDescent="0.25">
      <c r="A26" s="297" t="s">
        <v>22</v>
      </c>
      <c r="B26" s="364" t="s">
        <v>82</v>
      </c>
      <c r="C26" s="364"/>
      <c r="D26" s="364"/>
      <c r="E26" s="364"/>
      <c r="F26" s="364"/>
      <c r="G26" s="298"/>
      <c r="H26" s="149" t="s">
        <v>112</v>
      </c>
      <c r="I26" s="298" t="s">
        <v>55</v>
      </c>
      <c r="J26" s="142"/>
      <c r="K26" s="142"/>
      <c r="L26" s="142"/>
      <c r="M26" s="59"/>
      <c r="N26" s="59"/>
      <c r="O26" s="59"/>
      <c r="P26" s="59"/>
      <c r="Q26" s="59"/>
      <c r="R26" s="59"/>
      <c r="S26" s="59"/>
    </row>
    <row r="27" spans="1:19" s="36" customFormat="1" ht="23.25" customHeight="1" x14ac:dyDescent="0.25">
      <c r="A27" s="297" t="s">
        <v>23</v>
      </c>
      <c r="B27" s="364" t="s">
        <v>65</v>
      </c>
      <c r="C27" s="364"/>
      <c r="D27" s="364"/>
      <c r="E27" s="364"/>
      <c r="F27" s="364"/>
      <c r="G27" s="364"/>
      <c r="H27" s="148" t="s">
        <v>128</v>
      </c>
      <c r="I27" s="298" t="s">
        <v>84</v>
      </c>
      <c r="J27" s="59"/>
      <c r="K27" s="59"/>
      <c r="L27" s="59"/>
      <c r="M27" s="59"/>
      <c r="N27" s="59"/>
      <c r="O27" s="59"/>
      <c r="P27" s="59"/>
      <c r="Q27" s="59"/>
      <c r="R27" s="59"/>
      <c r="S27" s="59"/>
    </row>
    <row r="28" spans="1:19" s="41" customFormat="1" x14ac:dyDescent="0.25">
      <c r="A28" s="297" t="s">
        <v>88</v>
      </c>
      <c r="B28" s="364" t="s">
        <v>87</v>
      </c>
      <c r="C28" s="364"/>
      <c r="D28" s="364"/>
      <c r="E28" s="364"/>
      <c r="F28" s="364"/>
      <c r="G28" s="364"/>
      <c r="H28" s="364"/>
      <c r="I28" s="364"/>
    </row>
    <row r="29" spans="1:19" s="40" customFormat="1" x14ac:dyDescent="0.25">
      <c r="A29" s="297" t="s">
        <v>4</v>
      </c>
      <c r="B29" s="360" t="s">
        <v>24</v>
      </c>
      <c r="C29" s="360"/>
      <c r="D29" s="360"/>
      <c r="E29" s="360"/>
      <c r="F29" s="360"/>
      <c r="G29" s="360"/>
      <c r="H29" s="360"/>
      <c r="I29" s="360"/>
      <c r="J29" s="41"/>
      <c r="K29" s="41"/>
      <c r="L29" s="41"/>
      <c r="M29" s="41"/>
      <c r="N29" s="41"/>
      <c r="O29" s="41"/>
      <c r="P29" s="41"/>
      <c r="Q29" s="41"/>
      <c r="R29" s="41"/>
      <c r="S29" s="41"/>
    </row>
    <row r="30" spans="1:19" s="24" customFormat="1" ht="32.25" customHeight="1" x14ac:dyDescent="0.25">
      <c r="A30" s="351" t="s">
        <v>25</v>
      </c>
      <c r="B30" s="353" t="s">
        <v>26</v>
      </c>
      <c r="C30" s="354"/>
      <c r="D30" s="354"/>
      <c r="E30" s="354"/>
      <c r="F30" s="354"/>
      <c r="G30" s="354"/>
      <c r="H30" s="354"/>
      <c r="I30" s="355"/>
    </row>
    <row r="31" spans="1:19" s="25" customFormat="1" ht="49.5" x14ac:dyDescent="0.25">
      <c r="A31" s="352"/>
      <c r="B31" s="353" t="s">
        <v>27</v>
      </c>
      <c r="C31" s="355"/>
      <c r="D31" s="21" t="s">
        <v>28</v>
      </c>
      <c r="E31" s="22" t="s">
        <v>29</v>
      </c>
      <c r="F31" s="22" t="s">
        <v>30</v>
      </c>
      <c r="G31" s="21" t="s">
        <v>31</v>
      </c>
      <c r="H31" s="22" t="s">
        <v>104</v>
      </c>
      <c r="I31" s="22" t="s">
        <v>33</v>
      </c>
    </row>
    <row r="32" spans="1:19" s="62" customFormat="1" ht="18.75" customHeight="1" x14ac:dyDescent="0.25">
      <c r="A32" s="61">
        <v>1</v>
      </c>
      <c r="B32" s="356">
        <v>2</v>
      </c>
      <c r="C32" s="357"/>
      <c r="D32" s="61">
        <v>3</v>
      </c>
      <c r="E32" s="61">
        <v>4</v>
      </c>
      <c r="F32" s="61">
        <v>5</v>
      </c>
      <c r="G32" s="61">
        <v>6</v>
      </c>
      <c r="H32" s="61">
        <v>7</v>
      </c>
      <c r="I32" s="61">
        <v>8</v>
      </c>
    </row>
    <row r="33" spans="1:9" s="68" customFormat="1" ht="32.25" customHeight="1" x14ac:dyDescent="0.25">
      <c r="A33" s="63">
        <v>1</v>
      </c>
      <c r="B33" s="358" t="s">
        <v>563</v>
      </c>
      <c r="C33" s="359"/>
      <c r="D33" s="64" t="s">
        <v>106</v>
      </c>
      <c r="E33" s="65">
        <f>C22</f>
        <v>57.7</v>
      </c>
      <c r="F33" s="63"/>
      <c r="G33" s="66"/>
      <c r="H33" s="63">
        <f>E33*F33*G33</f>
        <v>0</v>
      </c>
      <c r="I33" s="67"/>
    </row>
    <row r="34" spans="1:9" s="71" customFormat="1" ht="25.5" customHeight="1" x14ac:dyDescent="0.25">
      <c r="A34" s="69"/>
      <c r="B34" s="349" t="s">
        <v>34</v>
      </c>
      <c r="C34" s="350"/>
      <c r="D34" s="69"/>
      <c r="E34" s="69"/>
      <c r="F34" s="69"/>
      <c r="G34" s="69"/>
      <c r="H34" s="70">
        <f>SUM(H33:H33)</f>
        <v>0</v>
      </c>
      <c r="I34" s="69"/>
    </row>
    <row r="35" spans="1:9" ht="5.25" customHeight="1" x14ac:dyDescent="0.25">
      <c r="A35" s="77"/>
      <c r="B35" s="72"/>
      <c r="C35" s="72"/>
      <c r="D35" s="73"/>
      <c r="E35" s="73"/>
      <c r="F35" s="73"/>
      <c r="G35" s="73"/>
      <c r="H35" s="73"/>
      <c r="I35" s="73"/>
    </row>
    <row r="36" spans="1:9" x14ac:dyDescent="0.25">
      <c r="A36" s="75" t="s">
        <v>9</v>
      </c>
      <c r="B36" s="360" t="s">
        <v>35</v>
      </c>
      <c r="C36" s="360"/>
      <c r="D36" s="360"/>
      <c r="E36" s="360"/>
      <c r="F36" s="360"/>
      <c r="G36" s="360"/>
      <c r="H36" s="360"/>
      <c r="I36" s="360"/>
    </row>
    <row r="37" spans="1:9" s="303" customFormat="1" ht="49.5" x14ac:dyDescent="0.25">
      <c r="A37" s="29" t="s">
        <v>25</v>
      </c>
      <c r="B37" s="353" t="s">
        <v>27</v>
      </c>
      <c r="C37" s="355"/>
      <c r="D37" s="21" t="s">
        <v>28</v>
      </c>
      <c r="E37" s="22" t="s">
        <v>29</v>
      </c>
      <c r="F37" s="22" t="s">
        <v>30</v>
      </c>
      <c r="G37" s="21" t="s">
        <v>31</v>
      </c>
      <c r="H37" s="22" t="s">
        <v>32</v>
      </c>
      <c r="I37" s="22" t="s">
        <v>33</v>
      </c>
    </row>
    <row r="38" spans="1:9" s="62" customFormat="1" ht="18" customHeight="1" x14ac:dyDescent="0.25">
      <c r="A38" s="61">
        <v>1</v>
      </c>
      <c r="B38" s="356">
        <v>2</v>
      </c>
      <c r="C38" s="357"/>
      <c r="D38" s="61">
        <v>3</v>
      </c>
      <c r="E38" s="61">
        <v>4</v>
      </c>
      <c r="F38" s="61">
        <v>5</v>
      </c>
      <c r="G38" s="61">
        <v>6</v>
      </c>
      <c r="H38" s="61">
        <v>7</v>
      </c>
      <c r="I38" s="61">
        <v>8</v>
      </c>
    </row>
    <row r="39" spans="1:9" ht="32.25" customHeight="1" x14ac:dyDescent="0.25">
      <c r="A39" s="26">
        <v>1</v>
      </c>
      <c r="B39" s="353"/>
      <c r="C39" s="355"/>
      <c r="D39" s="27"/>
      <c r="E39" s="22"/>
      <c r="F39" s="27"/>
      <c r="G39" s="27"/>
      <c r="H39" s="27"/>
      <c r="I39" s="26" t="s">
        <v>36</v>
      </c>
    </row>
    <row r="40" spans="1:9" s="71" customFormat="1" ht="18" customHeight="1" x14ac:dyDescent="0.25">
      <c r="A40" s="69"/>
      <c r="B40" s="349" t="s">
        <v>34</v>
      </c>
      <c r="C40" s="350"/>
      <c r="D40" s="74"/>
      <c r="E40" s="69"/>
      <c r="F40" s="74"/>
      <c r="G40" s="74"/>
      <c r="H40" s="74"/>
      <c r="I40" s="69"/>
    </row>
    <row r="41" spans="1:9" ht="15" customHeight="1" x14ac:dyDescent="0.25">
      <c r="A41" s="124"/>
      <c r="B41" s="75"/>
      <c r="C41" s="75"/>
      <c r="D41" s="299"/>
      <c r="E41" s="75"/>
      <c r="F41" s="299"/>
      <c r="G41" s="299"/>
      <c r="H41" s="299"/>
      <c r="I41" s="75"/>
    </row>
    <row r="42" spans="1:9" x14ac:dyDescent="0.25">
      <c r="A42" s="324"/>
      <c r="B42" s="327" t="s">
        <v>37</v>
      </c>
      <c r="C42" s="328"/>
      <c r="D42" s="328"/>
      <c r="E42" s="328"/>
      <c r="F42" s="328"/>
      <c r="G42" s="329"/>
      <c r="H42" s="27"/>
      <c r="I42" s="26" t="s">
        <v>74</v>
      </c>
    </row>
    <row r="43" spans="1:9" x14ac:dyDescent="0.25">
      <c r="A43" s="325"/>
      <c r="B43" s="330" t="s">
        <v>38</v>
      </c>
      <c r="C43" s="331"/>
      <c r="D43" s="331"/>
      <c r="E43" s="331"/>
      <c r="F43" s="331"/>
      <c r="G43" s="332"/>
      <c r="H43" s="27"/>
      <c r="I43" s="26" t="s">
        <v>74</v>
      </c>
    </row>
    <row r="44" spans="1:9" x14ac:dyDescent="0.25">
      <c r="A44" s="326"/>
      <c r="B44" s="333" t="s">
        <v>39</v>
      </c>
      <c r="C44" s="334"/>
      <c r="D44" s="334"/>
      <c r="E44" s="334"/>
      <c r="F44" s="334"/>
      <c r="G44" s="335"/>
      <c r="H44" s="27"/>
      <c r="I44" s="26" t="s">
        <v>74</v>
      </c>
    </row>
    <row r="45" spans="1:9" ht="9.75" customHeight="1" x14ac:dyDescent="0.25">
      <c r="A45" s="77"/>
      <c r="B45" s="72"/>
      <c r="C45" s="72"/>
      <c r="D45" s="72"/>
      <c r="E45" s="78"/>
      <c r="F45" s="72"/>
      <c r="G45" s="72"/>
      <c r="H45" s="79"/>
      <c r="I45" s="79"/>
    </row>
    <row r="46" spans="1:9" ht="15.75" customHeight="1" x14ac:dyDescent="0.25">
      <c r="A46" s="125" t="s">
        <v>22</v>
      </c>
      <c r="B46" s="336" t="s">
        <v>40</v>
      </c>
      <c r="C46" s="336"/>
      <c r="D46" s="336"/>
      <c r="E46" s="336"/>
      <c r="F46" s="336"/>
      <c r="G46" s="336"/>
      <c r="H46" s="301"/>
      <c r="I46" s="81"/>
    </row>
    <row r="47" spans="1:9" s="30" customFormat="1" ht="49.5" x14ac:dyDescent="0.25">
      <c r="A47" s="21" t="s">
        <v>25</v>
      </c>
      <c r="B47" s="21" t="s">
        <v>41</v>
      </c>
      <c r="C47" s="21" t="s">
        <v>28</v>
      </c>
      <c r="D47" s="21" t="s">
        <v>42</v>
      </c>
      <c r="E47" s="21" t="s">
        <v>43</v>
      </c>
      <c r="F47" s="22" t="s">
        <v>111</v>
      </c>
      <c r="G47" s="21" t="s">
        <v>31</v>
      </c>
      <c r="H47" s="21" t="s">
        <v>45</v>
      </c>
      <c r="I47" s="21" t="s">
        <v>33</v>
      </c>
    </row>
    <row r="48" spans="1:9" s="83" customFormat="1" ht="18" customHeight="1" x14ac:dyDescent="0.25">
      <c r="A48" s="82">
        <v>1</v>
      </c>
      <c r="B48" s="82">
        <v>2</v>
      </c>
      <c r="C48" s="82">
        <v>3</v>
      </c>
      <c r="D48" s="82">
        <v>4</v>
      </c>
      <c r="E48" s="82">
        <v>5</v>
      </c>
      <c r="F48" s="82">
        <v>6</v>
      </c>
      <c r="G48" s="82">
        <v>7</v>
      </c>
      <c r="H48" s="82">
        <v>8</v>
      </c>
      <c r="I48" s="82">
        <v>9</v>
      </c>
    </row>
    <row r="49" spans="1:12" s="89" customFormat="1" ht="30" customHeight="1" x14ac:dyDescent="0.25">
      <c r="A49" s="21" t="s">
        <v>46</v>
      </c>
      <c r="B49" s="84" t="s">
        <v>47</v>
      </c>
      <c r="C49" s="85"/>
      <c r="D49" s="85"/>
      <c r="E49" s="86"/>
      <c r="F49" s="85"/>
      <c r="G49" s="85"/>
      <c r="H49" s="292">
        <f>SUM(H50:H57)</f>
        <v>0</v>
      </c>
      <c r="I49" s="88"/>
    </row>
    <row r="50" spans="1:12" s="89" customFormat="1" ht="84" customHeight="1" x14ac:dyDescent="0.25">
      <c r="A50" s="302">
        <v>1</v>
      </c>
      <c r="B50" s="91" t="s">
        <v>537</v>
      </c>
      <c r="C50" s="64" t="s">
        <v>106</v>
      </c>
      <c r="D50" s="96" t="s">
        <v>538</v>
      </c>
      <c r="E50" s="234">
        <f>(4.93+4.78)/2*9.5</f>
        <v>46.122500000000002</v>
      </c>
      <c r="F50" s="93"/>
      <c r="G50" s="93"/>
      <c r="H50" s="94"/>
      <c r="I50" s="347" t="s">
        <v>110</v>
      </c>
    </row>
    <row r="51" spans="1:12" s="89" customFormat="1" ht="39.75" customHeight="1" x14ac:dyDescent="0.25">
      <c r="A51" s="302"/>
      <c r="B51" s="132" t="s">
        <v>120</v>
      </c>
      <c r="C51" s="64" t="s">
        <v>106</v>
      </c>
      <c r="D51" s="96" t="s">
        <v>539</v>
      </c>
      <c r="E51" s="234">
        <f>(1.15+3.2)/2*4.93</f>
        <v>10.722749999999998</v>
      </c>
      <c r="F51" s="93"/>
      <c r="G51" s="93"/>
      <c r="H51" s="94"/>
      <c r="I51" s="348"/>
    </row>
    <row r="52" spans="1:12" s="89" customFormat="1" ht="37.5" customHeight="1" x14ac:dyDescent="0.25">
      <c r="A52" s="302"/>
      <c r="B52" s="132" t="s">
        <v>109</v>
      </c>
      <c r="C52" s="64" t="s">
        <v>106</v>
      </c>
      <c r="D52" s="96"/>
      <c r="E52" s="92">
        <f>E50-E51</f>
        <v>35.399750000000004</v>
      </c>
      <c r="F52" s="93"/>
      <c r="G52" s="93"/>
      <c r="H52" s="94"/>
      <c r="I52" s="348"/>
    </row>
    <row r="53" spans="1:12" s="89" customFormat="1" ht="36" customHeight="1" x14ac:dyDescent="0.25">
      <c r="A53" s="302">
        <v>2</v>
      </c>
      <c r="B53" s="132" t="s">
        <v>540</v>
      </c>
      <c r="C53" s="64" t="s">
        <v>106</v>
      </c>
      <c r="D53" s="96" t="s">
        <v>549</v>
      </c>
      <c r="E53" s="92">
        <f>C22-E52</f>
        <v>22.300249999999998</v>
      </c>
      <c r="F53" s="93"/>
      <c r="G53" s="93"/>
      <c r="H53" s="94"/>
      <c r="I53" s="348"/>
    </row>
    <row r="54" spans="1:12" s="89" customFormat="1" ht="34.9" customHeight="1" x14ac:dyDescent="0.25">
      <c r="A54" s="302">
        <v>3</v>
      </c>
      <c r="B54" s="132" t="s">
        <v>90</v>
      </c>
      <c r="C54" s="64" t="s">
        <v>106</v>
      </c>
      <c r="D54" s="96" t="s">
        <v>550</v>
      </c>
      <c r="E54" s="92"/>
      <c r="F54" s="93"/>
      <c r="G54" s="93"/>
      <c r="H54" s="94"/>
      <c r="I54" s="348"/>
    </row>
    <row r="55" spans="1:12" s="89" customFormat="1" ht="31.9" customHeight="1" x14ac:dyDescent="0.25">
      <c r="A55" s="302">
        <v>4</v>
      </c>
      <c r="B55" s="132" t="s">
        <v>96</v>
      </c>
      <c r="C55" s="64" t="s">
        <v>106</v>
      </c>
      <c r="D55" s="96" t="s">
        <v>551</v>
      </c>
      <c r="E55" s="92">
        <f>E50</f>
        <v>46.122500000000002</v>
      </c>
      <c r="F55" s="93"/>
      <c r="G55" s="93"/>
      <c r="H55" s="94"/>
      <c r="I55" s="348"/>
    </row>
    <row r="56" spans="1:12" s="89" customFormat="1" ht="30.6" customHeight="1" x14ac:dyDescent="0.25">
      <c r="A56" s="302">
        <v>5</v>
      </c>
      <c r="B56" s="132" t="s">
        <v>541</v>
      </c>
      <c r="C56" s="64" t="s">
        <v>106</v>
      </c>
      <c r="D56" s="96" t="s">
        <v>552</v>
      </c>
      <c r="E56" s="92">
        <f>17*0.9</f>
        <v>15.3</v>
      </c>
      <c r="F56" s="93"/>
      <c r="G56" s="93"/>
      <c r="H56" s="94"/>
      <c r="I56" s="348"/>
    </row>
    <row r="57" spans="1:12" s="89" customFormat="1" ht="37.15" customHeight="1" x14ac:dyDescent="0.25">
      <c r="A57" s="302">
        <v>6</v>
      </c>
      <c r="B57" s="132" t="s">
        <v>542</v>
      </c>
      <c r="C57" s="64" t="s">
        <v>106</v>
      </c>
      <c r="D57" s="96" t="s">
        <v>553</v>
      </c>
      <c r="E57" s="92">
        <f>1.7*2.7</f>
        <v>4.59</v>
      </c>
      <c r="F57" s="93"/>
      <c r="G57" s="93"/>
      <c r="H57" s="94"/>
      <c r="I57" s="380"/>
    </row>
    <row r="58" spans="1:12" s="89" customFormat="1" ht="25.5" customHeight="1" x14ac:dyDescent="0.25">
      <c r="A58" s="21" t="s">
        <v>48</v>
      </c>
      <c r="B58" s="84" t="s">
        <v>49</v>
      </c>
      <c r="C58" s="85"/>
      <c r="D58" s="85"/>
      <c r="E58" s="92"/>
      <c r="F58" s="85"/>
      <c r="G58" s="85"/>
      <c r="H58" s="87">
        <f>SUM(H59:H59)</f>
        <v>0</v>
      </c>
      <c r="I58" s="95"/>
    </row>
    <row r="59" spans="1:12" s="89" customFormat="1" ht="22.5" customHeight="1" x14ac:dyDescent="0.25">
      <c r="A59" s="302"/>
      <c r="B59" s="91"/>
      <c r="C59" s="93"/>
      <c r="D59" s="302"/>
      <c r="E59" s="92"/>
      <c r="F59" s="97"/>
      <c r="G59" s="98"/>
      <c r="H59" s="97"/>
      <c r="I59" s="147"/>
    </row>
    <row r="60" spans="1:12" s="102" customFormat="1" ht="27.75" customHeight="1" x14ac:dyDescent="0.25">
      <c r="A60" s="126"/>
      <c r="B60" s="100" t="s">
        <v>50</v>
      </c>
      <c r="C60" s="100"/>
      <c r="D60" s="100"/>
      <c r="E60" s="100"/>
      <c r="F60" s="100"/>
      <c r="G60" s="100"/>
      <c r="H60" s="158">
        <f>H49+H58</f>
        <v>0</v>
      </c>
      <c r="I60" s="101"/>
    </row>
    <row r="61" spans="1:12" ht="22.5" customHeight="1" x14ac:dyDescent="0.25">
      <c r="A61" s="127">
        <v>4</v>
      </c>
      <c r="B61" s="337" t="s">
        <v>51</v>
      </c>
      <c r="C61" s="337"/>
      <c r="D61" s="337"/>
      <c r="E61" s="337"/>
      <c r="F61" s="337"/>
      <c r="G61" s="337"/>
      <c r="H61" s="51"/>
      <c r="I61" s="51"/>
    </row>
    <row r="62" spans="1:12" s="104" customFormat="1" ht="49.5" x14ac:dyDescent="0.25">
      <c r="A62" s="103" t="s">
        <v>25</v>
      </c>
      <c r="B62" s="338" t="s">
        <v>52</v>
      </c>
      <c r="C62" s="339"/>
      <c r="D62" s="21" t="s">
        <v>29</v>
      </c>
      <c r="E62" s="21" t="s">
        <v>53</v>
      </c>
      <c r="F62" s="21" t="s">
        <v>44</v>
      </c>
      <c r="G62" s="21" t="s">
        <v>54</v>
      </c>
      <c r="H62" s="21" t="s">
        <v>45</v>
      </c>
      <c r="I62" s="21" t="s">
        <v>33</v>
      </c>
    </row>
    <row r="63" spans="1:12" ht="24" customHeight="1" x14ac:dyDescent="0.25">
      <c r="A63" s="105"/>
      <c r="B63" s="340"/>
      <c r="C63" s="341"/>
      <c r="D63" s="106"/>
      <c r="E63" s="105"/>
      <c r="F63" s="107"/>
      <c r="G63" s="108"/>
      <c r="H63" s="108"/>
      <c r="I63" s="109"/>
      <c r="L63" s="110"/>
    </row>
    <row r="64" spans="1:12" s="112" customFormat="1" ht="27.75" customHeight="1" x14ac:dyDescent="0.25">
      <c r="A64" s="126"/>
      <c r="B64" s="342" t="s">
        <v>34</v>
      </c>
      <c r="C64" s="343"/>
      <c r="D64" s="100"/>
      <c r="E64" s="100"/>
      <c r="F64" s="100"/>
      <c r="G64" s="100"/>
      <c r="H64" s="163">
        <f>SUM(H63)</f>
        <v>0</v>
      </c>
      <c r="I64" s="111"/>
      <c r="L64" s="113"/>
    </row>
    <row r="65" spans="1:9" s="115" customFormat="1" ht="27.75" customHeight="1" x14ac:dyDescent="0.25">
      <c r="A65" s="128">
        <v>5</v>
      </c>
      <c r="B65" s="344" t="s">
        <v>56</v>
      </c>
      <c r="C65" s="344"/>
      <c r="D65" s="344"/>
      <c r="E65" s="344"/>
      <c r="F65" s="344"/>
      <c r="G65" s="345"/>
      <c r="H65" s="164">
        <f>H64+H60+H40+H34</f>
        <v>0</v>
      </c>
      <c r="I65" s="114" t="s">
        <v>57</v>
      </c>
    </row>
    <row r="66" spans="1:9" s="117" customFormat="1" ht="17.25" x14ac:dyDescent="0.25">
      <c r="A66" s="129"/>
      <c r="B66" s="116" t="s">
        <v>78</v>
      </c>
      <c r="C66" s="346" t="s">
        <v>91</v>
      </c>
      <c r="D66" s="346"/>
      <c r="E66" s="346"/>
      <c r="F66" s="346"/>
      <c r="G66" s="346"/>
      <c r="H66" s="346"/>
      <c r="I66" s="346"/>
    </row>
    <row r="67" spans="1:9" s="41" customFormat="1" ht="17.25" hidden="1" x14ac:dyDescent="0.3">
      <c r="A67" s="297"/>
      <c r="B67" s="118"/>
      <c r="E67" s="119"/>
      <c r="F67" s="316" t="s">
        <v>75</v>
      </c>
      <c r="G67" s="316"/>
      <c r="H67" s="316"/>
      <c r="I67" s="316"/>
    </row>
    <row r="68" spans="1:9" hidden="1" x14ac:dyDescent="0.25">
      <c r="F68" s="316" t="s">
        <v>76</v>
      </c>
      <c r="G68" s="316"/>
      <c r="H68" s="316"/>
      <c r="I68" s="316"/>
    </row>
    <row r="69" spans="1:9" hidden="1" x14ac:dyDescent="0.25">
      <c r="F69" s="317"/>
      <c r="G69" s="317"/>
      <c r="H69" s="317"/>
      <c r="I69" s="317"/>
    </row>
    <row r="70" spans="1:9" hidden="1" x14ac:dyDescent="0.25"/>
    <row r="71" spans="1:9" hidden="1" x14ac:dyDescent="0.25"/>
    <row r="72" spans="1:9" hidden="1" x14ac:dyDescent="0.25"/>
    <row r="73" spans="1:9" hidden="1" x14ac:dyDescent="0.25"/>
    <row r="74" spans="1:9" hidden="1" x14ac:dyDescent="0.25"/>
    <row r="75" spans="1:9" hidden="1" x14ac:dyDescent="0.25">
      <c r="F75" s="318" t="s">
        <v>77</v>
      </c>
      <c r="G75" s="318"/>
      <c r="H75" s="318"/>
      <c r="I75" s="318"/>
    </row>
    <row r="76" spans="1:9" ht="66.75" customHeight="1" x14ac:dyDescent="0.25">
      <c r="A76" s="387" t="s">
        <v>100</v>
      </c>
      <c r="B76" s="387"/>
      <c r="C76" s="387"/>
      <c r="D76" s="387"/>
      <c r="E76" s="387"/>
      <c r="F76" s="387"/>
      <c r="G76" s="387"/>
      <c r="H76" s="387"/>
      <c r="I76" s="387"/>
    </row>
    <row r="77" spans="1:9" x14ac:dyDescent="0.25">
      <c r="A77" s="315" t="s">
        <v>102</v>
      </c>
      <c r="B77" s="315"/>
      <c r="C77" s="315"/>
      <c r="D77" s="315"/>
      <c r="E77" s="315"/>
      <c r="F77" s="315"/>
      <c r="G77" s="315"/>
      <c r="H77" s="315"/>
      <c r="I77" s="315"/>
    </row>
    <row r="78" spans="1:9" x14ac:dyDescent="0.25">
      <c r="A78" s="388" t="s">
        <v>117</v>
      </c>
      <c r="B78" s="388"/>
      <c r="C78" s="388"/>
      <c r="D78" s="321"/>
      <c r="E78" s="322" t="s">
        <v>103</v>
      </c>
      <c r="F78" s="389"/>
      <c r="G78" s="389"/>
      <c r="H78" s="389"/>
      <c r="I78" s="389"/>
    </row>
    <row r="79" spans="1:9" x14ac:dyDescent="0.25">
      <c r="A79" s="388"/>
      <c r="B79" s="388"/>
      <c r="C79" s="388"/>
      <c r="D79" s="321"/>
      <c r="E79" s="322"/>
      <c r="F79" s="389"/>
      <c r="G79" s="389"/>
      <c r="H79" s="389"/>
      <c r="I79" s="389"/>
    </row>
    <row r="80" spans="1:9" x14ac:dyDescent="0.25">
      <c r="A80" s="388"/>
      <c r="B80" s="388"/>
      <c r="C80" s="388"/>
      <c r="D80" s="321"/>
      <c r="E80" s="293"/>
      <c r="F80" s="294"/>
      <c r="G80" s="294"/>
      <c r="H80" s="294"/>
      <c r="I80" s="294"/>
    </row>
    <row r="81" spans="1:9" x14ac:dyDescent="0.25">
      <c r="A81" s="315" t="s">
        <v>101</v>
      </c>
      <c r="B81" s="315"/>
      <c r="C81" s="315"/>
      <c r="D81" s="315"/>
      <c r="E81" s="315"/>
      <c r="F81" s="315"/>
      <c r="G81" s="315"/>
      <c r="H81" s="315"/>
      <c r="I81" s="315"/>
    </row>
  </sheetData>
  <mergeCells count="59">
    <mergeCell ref="A76:I76"/>
    <mergeCell ref="A77:I77"/>
    <mergeCell ref="A78:D80"/>
    <mergeCell ref="E78:I79"/>
    <mergeCell ref="A81:I81"/>
    <mergeCell ref="F75:I75"/>
    <mergeCell ref="B46:G46"/>
    <mergeCell ref="I50:I57"/>
    <mergeCell ref="B61:G61"/>
    <mergeCell ref="B62:C62"/>
    <mergeCell ref="B63:C63"/>
    <mergeCell ref="B64:C64"/>
    <mergeCell ref="B65:G65"/>
    <mergeCell ref="C66:I66"/>
    <mergeCell ref="F67:I67"/>
    <mergeCell ref="F68:I68"/>
    <mergeCell ref="F69:I69"/>
    <mergeCell ref="B39:C39"/>
    <mergeCell ref="B40:C40"/>
    <mergeCell ref="A42:A44"/>
    <mergeCell ref="B42:G42"/>
    <mergeCell ref="B43:G43"/>
    <mergeCell ref="B44:G44"/>
    <mergeCell ref="B38:C38"/>
    <mergeCell ref="B27:G27"/>
    <mergeCell ref="B28:I28"/>
    <mergeCell ref="B29:I29"/>
    <mergeCell ref="A30:A31"/>
    <mergeCell ref="B30:I30"/>
    <mergeCell ref="B31:C31"/>
    <mergeCell ref="B32:C32"/>
    <mergeCell ref="B33:C33"/>
    <mergeCell ref="B34:C34"/>
    <mergeCell ref="B36:I36"/>
    <mergeCell ref="B37:C37"/>
    <mergeCell ref="B26:F26"/>
    <mergeCell ref="C10:I10"/>
    <mergeCell ref="C11:I11"/>
    <mergeCell ref="C12:E12"/>
    <mergeCell ref="F13:I13"/>
    <mergeCell ref="C14:I14"/>
    <mergeCell ref="C15:I15"/>
    <mergeCell ref="C16:E16"/>
    <mergeCell ref="B17:I17"/>
    <mergeCell ref="D19:E19"/>
    <mergeCell ref="C24:I24"/>
    <mergeCell ref="C25:I25"/>
    <mergeCell ref="A5:I5"/>
    <mergeCell ref="A6:I6"/>
    <mergeCell ref="A7:I7"/>
    <mergeCell ref="B8:I8"/>
    <mergeCell ref="B9:E9"/>
    <mergeCell ref="F9:I9"/>
    <mergeCell ref="A1:D1"/>
    <mergeCell ref="E1:I1"/>
    <mergeCell ref="A2:D2"/>
    <mergeCell ref="E2:I2"/>
    <mergeCell ref="A4:D4"/>
    <mergeCell ref="E4:I4"/>
  </mergeCells>
  <printOptions horizontalCentered="1"/>
  <pageMargins left="0.11811023622047245" right="0.11811023622047245" top="0.19685039370078741" bottom="0.15748031496062992" header="0.19685039370078741" footer="0.15748031496062992"/>
  <pageSetup paperSize="9" scale="80" orientation="portrait" r:id="rId1"/>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4"/>
  <sheetViews>
    <sheetView tabSelected="1" view="pageBreakPreview" zoomScale="85" zoomScaleNormal="85" zoomScaleSheetLayoutView="85" workbookViewId="0">
      <pane ySplit="8" topLeftCell="A24" activePane="bottomLeft" state="frozen"/>
      <selection pane="bottomLeft" activeCell="H6" sqref="H6:H7"/>
    </sheetView>
  </sheetViews>
  <sheetFormatPr defaultColWidth="8.7109375" defaultRowHeight="15" x14ac:dyDescent="0.25"/>
  <cols>
    <col min="1" max="1" width="7.28515625" style="202" customWidth="1"/>
    <col min="2" max="2" width="24.42578125" style="2" customWidth="1"/>
    <col min="3" max="3" width="22.140625" style="2" customWidth="1"/>
    <col min="4" max="4" width="23" style="204" customWidth="1"/>
    <col min="5" max="5" width="29.140625" style="2" customWidth="1"/>
    <col min="6" max="6" width="10.42578125" style="2" customWidth="1"/>
    <col min="7" max="7" width="9" style="2" customWidth="1"/>
    <col min="8" max="8" width="12.28515625" style="2" customWidth="1"/>
    <col min="9" max="9" width="12.7109375" style="2" customWidth="1"/>
    <col min="10" max="10" width="10.42578125" style="2" customWidth="1"/>
    <col min="11" max="12" width="11.42578125" style="2" customWidth="1"/>
    <col min="13" max="13" width="14.42578125" style="2" customWidth="1"/>
    <col min="14" max="14" width="8.42578125" style="2" customWidth="1"/>
    <col min="15" max="15" width="9.7109375" style="2" customWidth="1"/>
    <col min="16" max="16" width="12.140625" style="2" customWidth="1"/>
    <col min="17" max="17" width="10" style="2" customWidth="1"/>
    <col min="18" max="18" width="12.42578125" style="2" customWidth="1"/>
    <col min="19" max="19" width="25.42578125" style="2" customWidth="1"/>
    <col min="20" max="20" width="10.140625" style="2" customWidth="1"/>
    <col min="21" max="22" width="14.42578125" style="2" customWidth="1"/>
    <col min="23" max="23" width="16" style="2" customWidth="1"/>
    <col min="24" max="24" width="14.42578125" style="2" customWidth="1"/>
    <col min="25" max="25" width="15.7109375" style="2" customWidth="1"/>
    <col min="26" max="26" width="115.42578125" style="2" customWidth="1"/>
    <col min="27" max="27" width="11.42578125" style="2" customWidth="1"/>
    <col min="28" max="28" width="76.42578125" style="2" customWidth="1"/>
    <col min="29" max="258" width="9.140625" style="2"/>
    <col min="259" max="259" width="7.42578125" style="2" customWidth="1"/>
    <col min="260" max="263" width="14" style="2" customWidth="1"/>
    <col min="264" max="265" width="8.42578125" style="2" customWidth="1"/>
    <col min="266" max="271" width="9.140625" style="2"/>
    <col min="272" max="272" width="10.140625" style="2" bestFit="1" customWidth="1"/>
    <col min="273" max="274" width="9.140625" style="2"/>
    <col min="275" max="275" width="6.7109375" style="2" customWidth="1"/>
    <col min="276" max="276" width="8.42578125" style="2" customWidth="1"/>
    <col min="277" max="283" width="14.42578125" style="2" customWidth="1"/>
    <col min="284" max="284" width="71.7109375" style="2" customWidth="1"/>
    <col min="285" max="514" width="9.140625" style="2"/>
    <col min="515" max="515" width="7.42578125" style="2" customWidth="1"/>
    <col min="516" max="519" width="14" style="2" customWidth="1"/>
    <col min="520" max="521" width="8.42578125" style="2" customWidth="1"/>
    <col min="522" max="527" width="9.140625" style="2"/>
    <col min="528" max="528" width="10.140625" style="2" bestFit="1" customWidth="1"/>
    <col min="529" max="530" width="9.140625" style="2"/>
    <col min="531" max="531" width="6.7109375" style="2" customWidth="1"/>
    <col min="532" max="532" width="8.42578125" style="2" customWidth="1"/>
    <col min="533" max="539" width="14.42578125" style="2" customWidth="1"/>
    <col min="540" max="540" width="71.7109375" style="2" customWidth="1"/>
    <col min="541" max="770" width="9.140625" style="2"/>
    <col min="771" max="771" width="7.42578125" style="2" customWidth="1"/>
    <col min="772" max="775" width="14" style="2" customWidth="1"/>
    <col min="776" max="777" width="8.42578125" style="2" customWidth="1"/>
    <col min="778" max="783" width="9.140625" style="2"/>
    <col min="784" max="784" width="10.140625" style="2" bestFit="1" customWidth="1"/>
    <col min="785" max="786" width="9.140625" style="2"/>
    <col min="787" max="787" width="6.7109375" style="2" customWidth="1"/>
    <col min="788" max="788" width="8.42578125" style="2" customWidth="1"/>
    <col min="789" max="795" width="14.42578125" style="2" customWidth="1"/>
    <col min="796" max="796" width="71.7109375" style="2" customWidth="1"/>
    <col min="797" max="1026" width="9.140625" style="2"/>
    <col min="1027" max="1027" width="7.42578125" style="2" customWidth="1"/>
    <col min="1028" max="1031" width="14" style="2" customWidth="1"/>
    <col min="1032" max="1033" width="8.42578125" style="2" customWidth="1"/>
    <col min="1034" max="1039" width="9.140625" style="2"/>
    <col min="1040" max="1040" width="10.140625" style="2" bestFit="1" customWidth="1"/>
    <col min="1041" max="1042" width="9.140625" style="2"/>
    <col min="1043" max="1043" width="6.7109375" style="2" customWidth="1"/>
    <col min="1044" max="1044" width="8.42578125" style="2" customWidth="1"/>
    <col min="1045" max="1051" width="14.42578125" style="2" customWidth="1"/>
    <col min="1052" max="1052" width="71.7109375" style="2" customWidth="1"/>
    <col min="1053" max="1282" width="9.140625" style="2"/>
    <col min="1283" max="1283" width="7.42578125" style="2" customWidth="1"/>
    <col min="1284" max="1287" width="14" style="2" customWidth="1"/>
    <col min="1288" max="1289" width="8.42578125" style="2" customWidth="1"/>
    <col min="1290" max="1295" width="9.140625" style="2"/>
    <col min="1296" max="1296" width="10.140625" style="2" bestFit="1" customWidth="1"/>
    <col min="1297" max="1298" width="9.140625" style="2"/>
    <col min="1299" max="1299" width="6.7109375" style="2" customWidth="1"/>
    <col min="1300" max="1300" width="8.42578125" style="2" customWidth="1"/>
    <col min="1301" max="1307" width="14.42578125" style="2" customWidth="1"/>
    <col min="1308" max="1308" width="71.7109375" style="2" customWidth="1"/>
    <col min="1309" max="1538" width="9.140625" style="2"/>
    <col min="1539" max="1539" width="7.42578125" style="2" customWidth="1"/>
    <col min="1540" max="1543" width="14" style="2" customWidth="1"/>
    <col min="1544" max="1545" width="8.42578125" style="2" customWidth="1"/>
    <col min="1546" max="1551" width="9.140625" style="2"/>
    <col min="1552" max="1552" width="10.140625" style="2" bestFit="1" customWidth="1"/>
    <col min="1553" max="1554" width="9.140625" style="2"/>
    <col min="1555" max="1555" width="6.7109375" style="2" customWidth="1"/>
    <col min="1556" max="1556" width="8.42578125" style="2" customWidth="1"/>
    <col min="1557" max="1563" width="14.42578125" style="2" customWidth="1"/>
    <col min="1564" max="1564" width="71.7109375" style="2" customWidth="1"/>
    <col min="1565" max="1794" width="9.140625" style="2"/>
    <col min="1795" max="1795" width="7.42578125" style="2" customWidth="1"/>
    <col min="1796" max="1799" width="14" style="2" customWidth="1"/>
    <col min="1800" max="1801" width="8.42578125" style="2" customWidth="1"/>
    <col min="1802" max="1807" width="9.140625" style="2"/>
    <col min="1808" max="1808" width="10.140625" style="2" bestFit="1" customWidth="1"/>
    <col min="1809" max="1810" width="9.140625" style="2"/>
    <col min="1811" max="1811" width="6.7109375" style="2" customWidth="1"/>
    <col min="1812" max="1812" width="8.42578125" style="2" customWidth="1"/>
    <col min="1813" max="1819" width="14.42578125" style="2" customWidth="1"/>
    <col min="1820" max="1820" width="71.7109375" style="2" customWidth="1"/>
    <col min="1821" max="2050" width="9.140625" style="2"/>
    <col min="2051" max="2051" width="7.42578125" style="2" customWidth="1"/>
    <col min="2052" max="2055" width="14" style="2" customWidth="1"/>
    <col min="2056" max="2057" width="8.42578125" style="2" customWidth="1"/>
    <col min="2058" max="2063" width="9.140625" style="2"/>
    <col min="2064" max="2064" width="10.140625" style="2" bestFit="1" customWidth="1"/>
    <col min="2065" max="2066" width="9.140625" style="2"/>
    <col min="2067" max="2067" width="6.7109375" style="2" customWidth="1"/>
    <col min="2068" max="2068" width="8.42578125" style="2" customWidth="1"/>
    <col min="2069" max="2075" width="14.42578125" style="2" customWidth="1"/>
    <col min="2076" max="2076" width="71.7109375" style="2" customWidth="1"/>
    <col min="2077" max="2306" width="9.140625" style="2"/>
    <col min="2307" max="2307" width="7.42578125" style="2" customWidth="1"/>
    <col min="2308" max="2311" width="14" style="2" customWidth="1"/>
    <col min="2312" max="2313" width="8.42578125" style="2" customWidth="1"/>
    <col min="2314" max="2319" width="9.140625" style="2"/>
    <col min="2320" max="2320" width="10.140625" style="2" bestFit="1" customWidth="1"/>
    <col min="2321" max="2322" width="9.140625" style="2"/>
    <col min="2323" max="2323" width="6.7109375" style="2" customWidth="1"/>
    <col min="2324" max="2324" width="8.42578125" style="2" customWidth="1"/>
    <col min="2325" max="2331" width="14.42578125" style="2" customWidth="1"/>
    <col min="2332" max="2332" width="71.7109375" style="2" customWidth="1"/>
    <col min="2333" max="2562" width="9.140625" style="2"/>
    <col min="2563" max="2563" width="7.42578125" style="2" customWidth="1"/>
    <col min="2564" max="2567" width="14" style="2" customWidth="1"/>
    <col min="2568" max="2569" width="8.42578125" style="2" customWidth="1"/>
    <col min="2570" max="2575" width="9.140625" style="2"/>
    <col min="2576" max="2576" width="10.140625" style="2" bestFit="1" customWidth="1"/>
    <col min="2577" max="2578" width="9.140625" style="2"/>
    <col min="2579" max="2579" width="6.7109375" style="2" customWidth="1"/>
    <col min="2580" max="2580" width="8.42578125" style="2" customWidth="1"/>
    <col min="2581" max="2587" width="14.42578125" style="2" customWidth="1"/>
    <col min="2588" max="2588" width="71.7109375" style="2" customWidth="1"/>
    <col min="2589" max="2818" width="9.140625" style="2"/>
    <col min="2819" max="2819" width="7.42578125" style="2" customWidth="1"/>
    <col min="2820" max="2823" width="14" style="2" customWidth="1"/>
    <col min="2824" max="2825" width="8.42578125" style="2" customWidth="1"/>
    <col min="2826" max="2831" width="9.140625" style="2"/>
    <col min="2832" max="2832" width="10.140625" style="2" bestFit="1" customWidth="1"/>
    <col min="2833" max="2834" width="9.140625" style="2"/>
    <col min="2835" max="2835" width="6.7109375" style="2" customWidth="1"/>
    <col min="2836" max="2836" width="8.42578125" style="2" customWidth="1"/>
    <col min="2837" max="2843" width="14.42578125" style="2" customWidth="1"/>
    <col min="2844" max="2844" width="71.7109375" style="2" customWidth="1"/>
    <col min="2845" max="3074" width="9.140625" style="2"/>
    <col min="3075" max="3075" width="7.42578125" style="2" customWidth="1"/>
    <col min="3076" max="3079" width="14" style="2" customWidth="1"/>
    <col min="3080" max="3081" width="8.42578125" style="2" customWidth="1"/>
    <col min="3082" max="3087" width="9.140625" style="2"/>
    <col min="3088" max="3088" width="10.140625" style="2" bestFit="1" customWidth="1"/>
    <col min="3089" max="3090" width="9.140625" style="2"/>
    <col min="3091" max="3091" width="6.7109375" style="2" customWidth="1"/>
    <col min="3092" max="3092" width="8.42578125" style="2" customWidth="1"/>
    <col min="3093" max="3099" width="14.42578125" style="2" customWidth="1"/>
    <col min="3100" max="3100" width="71.7109375" style="2" customWidth="1"/>
    <col min="3101" max="3330" width="9.140625" style="2"/>
    <col min="3331" max="3331" width="7.42578125" style="2" customWidth="1"/>
    <col min="3332" max="3335" width="14" style="2" customWidth="1"/>
    <col min="3336" max="3337" width="8.42578125" style="2" customWidth="1"/>
    <col min="3338" max="3343" width="9.140625" style="2"/>
    <col min="3344" max="3344" width="10.140625" style="2" bestFit="1" customWidth="1"/>
    <col min="3345" max="3346" width="9.140625" style="2"/>
    <col min="3347" max="3347" width="6.7109375" style="2" customWidth="1"/>
    <col min="3348" max="3348" width="8.42578125" style="2" customWidth="1"/>
    <col min="3349" max="3355" width="14.42578125" style="2" customWidth="1"/>
    <col min="3356" max="3356" width="71.7109375" style="2" customWidth="1"/>
    <col min="3357" max="3586" width="9.140625" style="2"/>
    <col min="3587" max="3587" width="7.42578125" style="2" customWidth="1"/>
    <col min="3588" max="3591" width="14" style="2" customWidth="1"/>
    <col min="3592" max="3593" width="8.42578125" style="2" customWidth="1"/>
    <col min="3594" max="3599" width="9.140625" style="2"/>
    <col min="3600" max="3600" width="10.140625" style="2" bestFit="1" customWidth="1"/>
    <col min="3601" max="3602" width="9.140625" style="2"/>
    <col min="3603" max="3603" width="6.7109375" style="2" customWidth="1"/>
    <col min="3604" max="3604" width="8.42578125" style="2" customWidth="1"/>
    <col min="3605" max="3611" width="14.42578125" style="2" customWidth="1"/>
    <col min="3612" max="3612" width="71.7109375" style="2" customWidth="1"/>
    <col min="3613" max="3842" width="9.140625" style="2"/>
    <col min="3843" max="3843" width="7.42578125" style="2" customWidth="1"/>
    <col min="3844" max="3847" width="14" style="2" customWidth="1"/>
    <col min="3848" max="3849" width="8.42578125" style="2" customWidth="1"/>
    <col min="3850" max="3855" width="9.140625" style="2"/>
    <col min="3856" max="3856" width="10.140625" style="2" bestFit="1" customWidth="1"/>
    <col min="3857" max="3858" width="9.140625" style="2"/>
    <col min="3859" max="3859" width="6.7109375" style="2" customWidth="1"/>
    <col min="3860" max="3860" width="8.42578125" style="2" customWidth="1"/>
    <col min="3861" max="3867" width="14.42578125" style="2" customWidth="1"/>
    <col min="3868" max="3868" width="71.7109375" style="2" customWidth="1"/>
    <col min="3869" max="4098" width="9.140625" style="2"/>
    <col min="4099" max="4099" width="7.42578125" style="2" customWidth="1"/>
    <col min="4100" max="4103" width="14" style="2" customWidth="1"/>
    <col min="4104" max="4105" width="8.42578125" style="2" customWidth="1"/>
    <col min="4106" max="4111" width="9.140625" style="2"/>
    <col min="4112" max="4112" width="10.140625" style="2" bestFit="1" customWidth="1"/>
    <col min="4113" max="4114" width="9.140625" style="2"/>
    <col min="4115" max="4115" width="6.7109375" style="2" customWidth="1"/>
    <col min="4116" max="4116" width="8.42578125" style="2" customWidth="1"/>
    <col min="4117" max="4123" width="14.42578125" style="2" customWidth="1"/>
    <col min="4124" max="4124" width="71.7109375" style="2" customWidth="1"/>
    <col min="4125" max="4354" width="9.140625" style="2"/>
    <col min="4355" max="4355" width="7.42578125" style="2" customWidth="1"/>
    <col min="4356" max="4359" width="14" style="2" customWidth="1"/>
    <col min="4360" max="4361" width="8.42578125" style="2" customWidth="1"/>
    <col min="4362" max="4367" width="9.140625" style="2"/>
    <col min="4368" max="4368" width="10.140625" style="2" bestFit="1" customWidth="1"/>
    <col min="4369" max="4370" width="9.140625" style="2"/>
    <col min="4371" max="4371" width="6.7109375" style="2" customWidth="1"/>
    <col min="4372" max="4372" width="8.42578125" style="2" customWidth="1"/>
    <col min="4373" max="4379" width="14.42578125" style="2" customWidth="1"/>
    <col min="4380" max="4380" width="71.7109375" style="2" customWidth="1"/>
    <col min="4381" max="4610" width="9.140625" style="2"/>
    <col min="4611" max="4611" width="7.42578125" style="2" customWidth="1"/>
    <col min="4612" max="4615" width="14" style="2" customWidth="1"/>
    <col min="4616" max="4617" width="8.42578125" style="2" customWidth="1"/>
    <col min="4618" max="4623" width="9.140625" style="2"/>
    <col min="4624" max="4624" width="10.140625" style="2" bestFit="1" customWidth="1"/>
    <col min="4625" max="4626" width="9.140625" style="2"/>
    <col min="4627" max="4627" width="6.7109375" style="2" customWidth="1"/>
    <col min="4628" max="4628" width="8.42578125" style="2" customWidth="1"/>
    <col min="4629" max="4635" width="14.42578125" style="2" customWidth="1"/>
    <col min="4636" max="4636" width="71.7109375" style="2" customWidth="1"/>
    <col min="4637" max="4866" width="9.140625" style="2"/>
    <col min="4867" max="4867" width="7.42578125" style="2" customWidth="1"/>
    <col min="4868" max="4871" width="14" style="2" customWidth="1"/>
    <col min="4872" max="4873" width="8.42578125" style="2" customWidth="1"/>
    <col min="4874" max="4879" width="9.140625" style="2"/>
    <col min="4880" max="4880" width="10.140625" style="2" bestFit="1" customWidth="1"/>
    <col min="4881" max="4882" width="9.140625" style="2"/>
    <col min="4883" max="4883" width="6.7109375" style="2" customWidth="1"/>
    <col min="4884" max="4884" width="8.42578125" style="2" customWidth="1"/>
    <col min="4885" max="4891" width="14.42578125" style="2" customWidth="1"/>
    <col min="4892" max="4892" width="71.7109375" style="2" customWidth="1"/>
    <col min="4893" max="5122" width="9.140625" style="2"/>
    <col min="5123" max="5123" width="7.42578125" style="2" customWidth="1"/>
    <col min="5124" max="5127" width="14" style="2" customWidth="1"/>
    <col min="5128" max="5129" width="8.42578125" style="2" customWidth="1"/>
    <col min="5130" max="5135" width="9.140625" style="2"/>
    <col min="5136" max="5136" width="10.140625" style="2" bestFit="1" customWidth="1"/>
    <col min="5137" max="5138" width="9.140625" style="2"/>
    <col min="5139" max="5139" width="6.7109375" style="2" customWidth="1"/>
    <col min="5140" max="5140" width="8.42578125" style="2" customWidth="1"/>
    <col min="5141" max="5147" width="14.42578125" style="2" customWidth="1"/>
    <col min="5148" max="5148" width="71.7109375" style="2" customWidth="1"/>
    <col min="5149" max="5378" width="9.140625" style="2"/>
    <col min="5379" max="5379" width="7.42578125" style="2" customWidth="1"/>
    <col min="5380" max="5383" width="14" style="2" customWidth="1"/>
    <col min="5384" max="5385" width="8.42578125" style="2" customWidth="1"/>
    <col min="5386" max="5391" width="9.140625" style="2"/>
    <col min="5392" max="5392" width="10.140625" style="2" bestFit="1" customWidth="1"/>
    <col min="5393" max="5394" width="9.140625" style="2"/>
    <col min="5395" max="5395" width="6.7109375" style="2" customWidth="1"/>
    <col min="5396" max="5396" width="8.42578125" style="2" customWidth="1"/>
    <col min="5397" max="5403" width="14.42578125" style="2" customWidth="1"/>
    <col min="5404" max="5404" width="71.7109375" style="2" customWidth="1"/>
    <col min="5405" max="5634" width="9.140625" style="2"/>
    <col min="5635" max="5635" width="7.42578125" style="2" customWidth="1"/>
    <col min="5636" max="5639" width="14" style="2" customWidth="1"/>
    <col min="5640" max="5641" width="8.42578125" style="2" customWidth="1"/>
    <col min="5642" max="5647" width="9.140625" style="2"/>
    <col min="5648" max="5648" width="10.140625" style="2" bestFit="1" customWidth="1"/>
    <col min="5649" max="5650" width="9.140625" style="2"/>
    <col min="5651" max="5651" width="6.7109375" style="2" customWidth="1"/>
    <col min="5652" max="5652" width="8.42578125" style="2" customWidth="1"/>
    <col min="5653" max="5659" width="14.42578125" style="2" customWidth="1"/>
    <col min="5660" max="5660" width="71.7109375" style="2" customWidth="1"/>
    <col min="5661" max="5890" width="9.140625" style="2"/>
    <col min="5891" max="5891" width="7.42578125" style="2" customWidth="1"/>
    <col min="5892" max="5895" width="14" style="2" customWidth="1"/>
    <col min="5896" max="5897" width="8.42578125" style="2" customWidth="1"/>
    <col min="5898" max="5903" width="9.140625" style="2"/>
    <col min="5904" max="5904" width="10.140625" style="2" bestFit="1" customWidth="1"/>
    <col min="5905" max="5906" width="9.140625" style="2"/>
    <col min="5907" max="5907" width="6.7109375" style="2" customWidth="1"/>
    <col min="5908" max="5908" width="8.42578125" style="2" customWidth="1"/>
    <col min="5909" max="5915" width="14.42578125" style="2" customWidth="1"/>
    <col min="5916" max="5916" width="71.7109375" style="2" customWidth="1"/>
    <col min="5917" max="6146" width="9.140625" style="2"/>
    <col min="6147" max="6147" width="7.42578125" style="2" customWidth="1"/>
    <col min="6148" max="6151" width="14" style="2" customWidth="1"/>
    <col min="6152" max="6153" width="8.42578125" style="2" customWidth="1"/>
    <col min="6154" max="6159" width="9.140625" style="2"/>
    <col min="6160" max="6160" width="10.140625" style="2" bestFit="1" customWidth="1"/>
    <col min="6161" max="6162" width="9.140625" style="2"/>
    <col min="6163" max="6163" width="6.7109375" style="2" customWidth="1"/>
    <col min="6164" max="6164" width="8.42578125" style="2" customWidth="1"/>
    <col min="6165" max="6171" width="14.42578125" style="2" customWidth="1"/>
    <col min="6172" max="6172" width="71.7109375" style="2" customWidth="1"/>
    <col min="6173" max="6402" width="9.140625" style="2"/>
    <col min="6403" max="6403" width="7.42578125" style="2" customWidth="1"/>
    <col min="6404" max="6407" width="14" style="2" customWidth="1"/>
    <col min="6408" max="6409" width="8.42578125" style="2" customWidth="1"/>
    <col min="6410" max="6415" width="9.140625" style="2"/>
    <col min="6416" max="6416" width="10.140625" style="2" bestFit="1" customWidth="1"/>
    <col min="6417" max="6418" width="9.140625" style="2"/>
    <col min="6419" max="6419" width="6.7109375" style="2" customWidth="1"/>
    <col min="6420" max="6420" width="8.42578125" style="2" customWidth="1"/>
    <col min="6421" max="6427" width="14.42578125" style="2" customWidth="1"/>
    <col min="6428" max="6428" width="71.7109375" style="2" customWidth="1"/>
    <col min="6429" max="6658" width="9.140625" style="2"/>
    <col min="6659" max="6659" width="7.42578125" style="2" customWidth="1"/>
    <col min="6660" max="6663" width="14" style="2" customWidth="1"/>
    <col min="6664" max="6665" width="8.42578125" style="2" customWidth="1"/>
    <col min="6666" max="6671" width="9.140625" style="2"/>
    <col min="6672" max="6672" width="10.140625" style="2" bestFit="1" customWidth="1"/>
    <col min="6673" max="6674" width="9.140625" style="2"/>
    <col min="6675" max="6675" width="6.7109375" style="2" customWidth="1"/>
    <col min="6676" max="6676" width="8.42578125" style="2" customWidth="1"/>
    <col min="6677" max="6683" width="14.42578125" style="2" customWidth="1"/>
    <col min="6684" max="6684" width="71.7109375" style="2" customWidth="1"/>
    <col min="6685" max="6914" width="9.140625" style="2"/>
    <col min="6915" max="6915" width="7.42578125" style="2" customWidth="1"/>
    <col min="6916" max="6919" width="14" style="2" customWidth="1"/>
    <col min="6920" max="6921" width="8.42578125" style="2" customWidth="1"/>
    <col min="6922" max="6927" width="9.140625" style="2"/>
    <col min="6928" max="6928" width="10.140625" style="2" bestFit="1" customWidth="1"/>
    <col min="6929" max="6930" width="9.140625" style="2"/>
    <col min="6931" max="6931" width="6.7109375" style="2" customWidth="1"/>
    <col min="6932" max="6932" width="8.42578125" style="2" customWidth="1"/>
    <col min="6933" max="6939" width="14.42578125" style="2" customWidth="1"/>
    <col min="6940" max="6940" width="71.7109375" style="2" customWidth="1"/>
    <col min="6941" max="7170" width="9.140625" style="2"/>
    <col min="7171" max="7171" width="7.42578125" style="2" customWidth="1"/>
    <col min="7172" max="7175" width="14" style="2" customWidth="1"/>
    <col min="7176" max="7177" width="8.42578125" style="2" customWidth="1"/>
    <col min="7178" max="7183" width="9.140625" style="2"/>
    <col min="7184" max="7184" width="10.140625" style="2" bestFit="1" customWidth="1"/>
    <col min="7185" max="7186" width="9.140625" style="2"/>
    <col min="7187" max="7187" width="6.7109375" style="2" customWidth="1"/>
    <col min="7188" max="7188" width="8.42578125" style="2" customWidth="1"/>
    <col min="7189" max="7195" width="14.42578125" style="2" customWidth="1"/>
    <col min="7196" max="7196" width="71.7109375" style="2" customWidth="1"/>
    <col min="7197" max="7426" width="9.140625" style="2"/>
    <col min="7427" max="7427" width="7.42578125" style="2" customWidth="1"/>
    <col min="7428" max="7431" width="14" style="2" customWidth="1"/>
    <col min="7432" max="7433" width="8.42578125" style="2" customWidth="1"/>
    <col min="7434" max="7439" width="9.140625" style="2"/>
    <col min="7440" max="7440" width="10.140625" style="2" bestFit="1" customWidth="1"/>
    <col min="7441" max="7442" width="9.140625" style="2"/>
    <col min="7443" max="7443" width="6.7109375" style="2" customWidth="1"/>
    <col min="7444" max="7444" width="8.42578125" style="2" customWidth="1"/>
    <col min="7445" max="7451" width="14.42578125" style="2" customWidth="1"/>
    <col min="7452" max="7452" width="71.7109375" style="2" customWidth="1"/>
    <col min="7453" max="7682" width="9.140625" style="2"/>
    <col min="7683" max="7683" width="7.42578125" style="2" customWidth="1"/>
    <col min="7684" max="7687" width="14" style="2" customWidth="1"/>
    <col min="7688" max="7689" width="8.42578125" style="2" customWidth="1"/>
    <col min="7690" max="7695" width="9.140625" style="2"/>
    <col min="7696" max="7696" width="10.140625" style="2" bestFit="1" customWidth="1"/>
    <col min="7697" max="7698" width="9.140625" style="2"/>
    <col min="7699" max="7699" width="6.7109375" style="2" customWidth="1"/>
    <col min="7700" max="7700" width="8.42578125" style="2" customWidth="1"/>
    <col min="7701" max="7707" width="14.42578125" style="2" customWidth="1"/>
    <col min="7708" max="7708" width="71.7109375" style="2" customWidth="1"/>
    <col min="7709" max="7938" width="9.140625" style="2"/>
    <col min="7939" max="7939" width="7.42578125" style="2" customWidth="1"/>
    <col min="7940" max="7943" width="14" style="2" customWidth="1"/>
    <col min="7944" max="7945" width="8.42578125" style="2" customWidth="1"/>
    <col min="7946" max="7951" width="9.140625" style="2"/>
    <col min="7952" max="7952" width="10.140625" style="2" bestFit="1" customWidth="1"/>
    <col min="7953" max="7954" width="9.140625" style="2"/>
    <col min="7955" max="7955" width="6.7109375" style="2" customWidth="1"/>
    <col min="7956" max="7956" width="8.42578125" style="2" customWidth="1"/>
    <col min="7957" max="7963" width="14.42578125" style="2" customWidth="1"/>
    <col min="7964" max="7964" width="71.7109375" style="2" customWidth="1"/>
    <col min="7965" max="8194" width="9.140625" style="2"/>
    <col min="8195" max="8195" width="7.42578125" style="2" customWidth="1"/>
    <col min="8196" max="8199" width="14" style="2" customWidth="1"/>
    <col min="8200" max="8201" width="8.42578125" style="2" customWidth="1"/>
    <col min="8202" max="8207" width="9.140625" style="2"/>
    <col min="8208" max="8208" width="10.140625" style="2" bestFit="1" customWidth="1"/>
    <col min="8209" max="8210" width="9.140625" style="2"/>
    <col min="8211" max="8211" width="6.7109375" style="2" customWidth="1"/>
    <col min="8212" max="8212" width="8.42578125" style="2" customWidth="1"/>
    <col min="8213" max="8219" width="14.42578125" style="2" customWidth="1"/>
    <col min="8220" max="8220" width="71.7109375" style="2" customWidth="1"/>
    <col min="8221" max="8450" width="9.140625" style="2"/>
    <col min="8451" max="8451" width="7.42578125" style="2" customWidth="1"/>
    <col min="8452" max="8455" width="14" style="2" customWidth="1"/>
    <col min="8456" max="8457" width="8.42578125" style="2" customWidth="1"/>
    <col min="8458" max="8463" width="9.140625" style="2"/>
    <col min="8464" max="8464" width="10.140625" style="2" bestFit="1" customWidth="1"/>
    <col min="8465" max="8466" width="9.140625" style="2"/>
    <col min="8467" max="8467" width="6.7109375" style="2" customWidth="1"/>
    <col min="8468" max="8468" width="8.42578125" style="2" customWidth="1"/>
    <col min="8469" max="8475" width="14.42578125" style="2" customWidth="1"/>
    <col min="8476" max="8476" width="71.7109375" style="2" customWidth="1"/>
    <col min="8477" max="8706" width="9.140625" style="2"/>
    <col min="8707" max="8707" width="7.42578125" style="2" customWidth="1"/>
    <col min="8708" max="8711" width="14" style="2" customWidth="1"/>
    <col min="8712" max="8713" width="8.42578125" style="2" customWidth="1"/>
    <col min="8714" max="8719" width="9.140625" style="2"/>
    <col min="8720" max="8720" width="10.140625" style="2" bestFit="1" customWidth="1"/>
    <col min="8721" max="8722" width="9.140625" style="2"/>
    <col min="8723" max="8723" width="6.7109375" style="2" customWidth="1"/>
    <col min="8724" max="8724" width="8.42578125" style="2" customWidth="1"/>
    <col min="8725" max="8731" width="14.42578125" style="2" customWidth="1"/>
    <col min="8732" max="8732" width="71.7109375" style="2" customWidth="1"/>
    <col min="8733" max="8962" width="9.140625" style="2"/>
    <col min="8963" max="8963" width="7.42578125" style="2" customWidth="1"/>
    <col min="8964" max="8967" width="14" style="2" customWidth="1"/>
    <col min="8968" max="8969" width="8.42578125" style="2" customWidth="1"/>
    <col min="8970" max="8975" width="9.140625" style="2"/>
    <col min="8976" max="8976" width="10.140625" style="2" bestFit="1" customWidth="1"/>
    <col min="8977" max="8978" width="9.140625" style="2"/>
    <col min="8979" max="8979" width="6.7109375" style="2" customWidth="1"/>
    <col min="8980" max="8980" width="8.42578125" style="2" customWidth="1"/>
    <col min="8981" max="8987" width="14.42578125" style="2" customWidth="1"/>
    <col min="8988" max="8988" width="71.7109375" style="2" customWidth="1"/>
    <col min="8989" max="9218" width="9.140625" style="2"/>
    <col min="9219" max="9219" width="7.42578125" style="2" customWidth="1"/>
    <col min="9220" max="9223" width="14" style="2" customWidth="1"/>
    <col min="9224" max="9225" width="8.42578125" style="2" customWidth="1"/>
    <col min="9226" max="9231" width="9.140625" style="2"/>
    <col min="9232" max="9232" width="10.140625" style="2" bestFit="1" customWidth="1"/>
    <col min="9233" max="9234" width="9.140625" style="2"/>
    <col min="9235" max="9235" width="6.7109375" style="2" customWidth="1"/>
    <col min="9236" max="9236" width="8.42578125" style="2" customWidth="1"/>
    <col min="9237" max="9243" width="14.42578125" style="2" customWidth="1"/>
    <col min="9244" max="9244" width="71.7109375" style="2" customWidth="1"/>
    <col min="9245" max="9474" width="9.140625" style="2"/>
    <col min="9475" max="9475" width="7.42578125" style="2" customWidth="1"/>
    <col min="9476" max="9479" width="14" style="2" customWidth="1"/>
    <col min="9480" max="9481" width="8.42578125" style="2" customWidth="1"/>
    <col min="9482" max="9487" width="9.140625" style="2"/>
    <col min="9488" max="9488" width="10.140625" style="2" bestFit="1" customWidth="1"/>
    <col min="9489" max="9490" width="9.140625" style="2"/>
    <col min="9491" max="9491" width="6.7109375" style="2" customWidth="1"/>
    <col min="9492" max="9492" width="8.42578125" style="2" customWidth="1"/>
    <col min="9493" max="9499" width="14.42578125" style="2" customWidth="1"/>
    <col min="9500" max="9500" width="71.7109375" style="2" customWidth="1"/>
    <col min="9501" max="9730" width="9.140625" style="2"/>
    <col min="9731" max="9731" width="7.42578125" style="2" customWidth="1"/>
    <col min="9732" max="9735" width="14" style="2" customWidth="1"/>
    <col min="9736" max="9737" width="8.42578125" style="2" customWidth="1"/>
    <col min="9738" max="9743" width="9.140625" style="2"/>
    <col min="9744" max="9744" width="10.140625" style="2" bestFit="1" customWidth="1"/>
    <col min="9745" max="9746" width="9.140625" style="2"/>
    <col min="9747" max="9747" width="6.7109375" style="2" customWidth="1"/>
    <col min="9748" max="9748" width="8.42578125" style="2" customWidth="1"/>
    <col min="9749" max="9755" width="14.42578125" style="2" customWidth="1"/>
    <col min="9756" max="9756" width="71.7109375" style="2" customWidth="1"/>
    <col min="9757" max="9986" width="9.140625" style="2"/>
    <col min="9987" max="9987" width="7.42578125" style="2" customWidth="1"/>
    <col min="9988" max="9991" width="14" style="2" customWidth="1"/>
    <col min="9992" max="9993" width="8.42578125" style="2" customWidth="1"/>
    <col min="9994" max="9999" width="9.140625" style="2"/>
    <col min="10000" max="10000" width="10.140625" style="2" bestFit="1" customWidth="1"/>
    <col min="10001" max="10002" width="9.140625" style="2"/>
    <col min="10003" max="10003" width="6.7109375" style="2" customWidth="1"/>
    <col min="10004" max="10004" width="8.42578125" style="2" customWidth="1"/>
    <col min="10005" max="10011" width="14.42578125" style="2" customWidth="1"/>
    <col min="10012" max="10012" width="71.7109375" style="2" customWidth="1"/>
    <col min="10013" max="10242" width="9.140625" style="2"/>
    <col min="10243" max="10243" width="7.42578125" style="2" customWidth="1"/>
    <col min="10244" max="10247" width="14" style="2" customWidth="1"/>
    <col min="10248" max="10249" width="8.42578125" style="2" customWidth="1"/>
    <col min="10250" max="10255" width="9.140625" style="2"/>
    <col min="10256" max="10256" width="10.140625" style="2" bestFit="1" customWidth="1"/>
    <col min="10257" max="10258" width="9.140625" style="2"/>
    <col min="10259" max="10259" width="6.7109375" style="2" customWidth="1"/>
    <col min="10260" max="10260" width="8.42578125" style="2" customWidth="1"/>
    <col min="10261" max="10267" width="14.42578125" style="2" customWidth="1"/>
    <col min="10268" max="10268" width="71.7109375" style="2" customWidth="1"/>
    <col min="10269" max="10498" width="9.140625" style="2"/>
    <col min="10499" max="10499" width="7.42578125" style="2" customWidth="1"/>
    <col min="10500" max="10503" width="14" style="2" customWidth="1"/>
    <col min="10504" max="10505" width="8.42578125" style="2" customWidth="1"/>
    <col min="10506" max="10511" width="9.140625" style="2"/>
    <col min="10512" max="10512" width="10.140625" style="2" bestFit="1" customWidth="1"/>
    <col min="10513" max="10514" width="9.140625" style="2"/>
    <col min="10515" max="10515" width="6.7109375" style="2" customWidth="1"/>
    <col min="10516" max="10516" width="8.42578125" style="2" customWidth="1"/>
    <col min="10517" max="10523" width="14.42578125" style="2" customWidth="1"/>
    <col min="10524" max="10524" width="71.7109375" style="2" customWidth="1"/>
    <col min="10525" max="10754" width="9.140625" style="2"/>
    <col min="10755" max="10755" width="7.42578125" style="2" customWidth="1"/>
    <col min="10756" max="10759" width="14" style="2" customWidth="1"/>
    <col min="10760" max="10761" width="8.42578125" style="2" customWidth="1"/>
    <col min="10762" max="10767" width="9.140625" style="2"/>
    <col min="10768" max="10768" width="10.140625" style="2" bestFit="1" customWidth="1"/>
    <col min="10769" max="10770" width="9.140625" style="2"/>
    <col min="10771" max="10771" width="6.7109375" style="2" customWidth="1"/>
    <col min="10772" max="10772" width="8.42578125" style="2" customWidth="1"/>
    <col min="10773" max="10779" width="14.42578125" style="2" customWidth="1"/>
    <col min="10780" max="10780" width="71.7109375" style="2" customWidth="1"/>
    <col min="10781" max="11010" width="9.140625" style="2"/>
    <col min="11011" max="11011" width="7.42578125" style="2" customWidth="1"/>
    <col min="11012" max="11015" width="14" style="2" customWidth="1"/>
    <col min="11016" max="11017" width="8.42578125" style="2" customWidth="1"/>
    <col min="11018" max="11023" width="9.140625" style="2"/>
    <col min="11024" max="11024" width="10.140625" style="2" bestFit="1" customWidth="1"/>
    <col min="11025" max="11026" width="9.140625" style="2"/>
    <col min="11027" max="11027" width="6.7109375" style="2" customWidth="1"/>
    <col min="11028" max="11028" width="8.42578125" style="2" customWidth="1"/>
    <col min="11029" max="11035" width="14.42578125" style="2" customWidth="1"/>
    <col min="11036" max="11036" width="71.7109375" style="2" customWidth="1"/>
    <col min="11037" max="11266" width="9.140625" style="2"/>
    <col min="11267" max="11267" width="7.42578125" style="2" customWidth="1"/>
    <col min="11268" max="11271" width="14" style="2" customWidth="1"/>
    <col min="11272" max="11273" width="8.42578125" style="2" customWidth="1"/>
    <col min="11274" max="11279" width="9.140625" style="2"/>
    <col min="11280" max="11280" width="10.140625" style="2" bestFit="1" customWidth="1"/>
    <col min="11281" max="11282" width="9.140625" style="2"/>
    <col min="11283" max="11283" width="6.7109375" style="2" customWidth="1"/>
    <col min="11284" max="11284" width="8.42578125" style="2" customWidth="1"/>
    <col min="11285" max="11291" width="14.42578125" style="2" customWidth="1"/>
    <col min="11292" max="11292" width="71.7109375" style="2" customWidth="1"/>
    <col min="11293" max="11522" width="9.140625" style="2"/>
    <col min="11523" max="11523" width="7.42578125" style="2" customWidth="1"/>
    <col min="11524" max="11527" width="14" style="2" customWidth="1"/>
    <col min="11528" max="11529" width="8.42578125" style="2" customWidth="1"/>
    <col min="11530" max="11535" width="9.140625" style="2"/>
    <col min="11536" max="11536" width="10.140625" style="2" bestFit="1" customWidth="1"/>
    <col min="11537" max="11538" width="9.140625" style="2"/>
    <col min="11539" max="11539" width="6.7109375" style="2" customWidth="1"/>
    <col min="11540" max="11540" width="8.42578125" style="2" customWidth="1"/>
    <col min="11541" max="11547" width="14.42578125" style="2" customWidth="1"/>
    <col min="11548" max="11548" width="71.7109375" style="2" customWidth="1"/>
    <col min="11549" max="11778" width="9.140625" style="2"/>
    <col min="11779" max="11779" width="7.42578125" style="2" customWidth="1"/>
    <col min="11780" max="11783" width="14" style="2" customWidth="1"/>
    <col min="11784" max="11785" width="8.42578125" style="2" customWidth="1"/>
    <col min="11786" max="11791" width="9.140625" style="2"/>
    <col min="11792" max="11792" width="10.140625" style="2" bestFit="1" customWidth="1"/>
    <col min="11793" max="11794" width="9.140625" style="2"/>
    <col min="11795" max="11795" width="6.7109375" style="2" customWidth="1"/>
    <col min="11796" max="11796" width="8.42578125" style="2" customWidth="1"/>
    <col min="11797" max="11803" width="14.42578125" style="2" customWidth="1"/>
    <col min="11804" max="11804" width="71.7109375" style="2" customWidth="1"/>
    <col min="11805" max="12034" width="9.140625" style="2"/>
    <col min="12035" max="12035" width="7.42578125" style="2" customWidth="1"/>
    <col min="12036" max="12039" width="14" style="2" customWidth="1"/>
    <col min="12040" max="12041" width="8.42578125" style="2" customWidth="1"/>
    <col min="12042" max="12047" width="9.140625" style="2"/>
    <col min="12048" max="12048" width="10.140625" style="2" bestFit="1" customWidth="1"/>
    <col min="12049" max="12050" width="9.140625" style="2"/>
    <col min="12051" max="12051" width="6.7109375" style="2" customWidth="1"/>
    <col min="12052" max="12052" width="8.42578125" style="2" customWidth="1"/>
    <col min="12053" max="12059" width="14.42578125" style="2" customWidth="1"/>
    <col min="12060" max="12060" width="71.7109375" style="2" customWidth="1"/>
    <col min="12061" max="12290" width="9.140625" style="2"/>
    <col min="12291" max="12291" width="7.42578125" style="2" customWidth="1"/>
    <col min="12292" max="12295" width="14" style="2" customWidth="1"/>
    <col min="12296" max="12297" width="8.42578125" style="2" customWidth="1"/>
    <col min="12298" max="12303" width="9.140625" style="2"/>
    <col min="12304" max="12304" width="10.140625" style="2" bestFit="1" customWidth="1"/>
    <col min="12305" max="12306" width="9.140625" style="2"/>
    <col min="12307" max="12307" width="6.7109375" style="2" customWidth="1"/>
    <col min="12308" max="12308" width="8.42578125" style="2" customWidth="1"/>
    <col min="12309" max="12315" width="14.42578125" style="2" customWidth="1"/>
    <col min="12316" max="12316" width="71.7109375" style="2" customWidth="1"/>
    <col min="12317" max="12546" width="9.140625" style="2"/>
    <col min="12547" max="12547" width="7.42578125" style="2" customWidth="1"/>
    <col min="12548" max="12551" width="14" style="2" customWidth="1"/>
    <col min="12552" max="12553" width="8.42578125" style="2" customWidth="1"/>
    <col min="12554" max="12559" width="9.140625" style="2"/>
    <col min="12560" max="12560" width="10.140625" style="2" bestFit="1" customWidth="1"/>
    <col min="12561" max="12562" width="9.140625" style="2"/>
    <col min="12563" max="12563" width="6.7109375" style="2" customWidth="1"/>
    <col min="12564" max="12564" width="8.42578125" style="2" customWidth="1"/>
    <col min="12565" max="12571" width="14.42578125" style="2" customWidth="1"/>
    <col min="12572" max="12572" width="71.7109375" style="2" customWidth="1"/>
    <col min="12573" max="12802" width="9.140625" style="2"/>
    <col min="12803" max="12803" width="7.42578125" style="2" customWidth="1"/>
    <col min="12804" max="12807" width="14" style="2" customWidth="1"/>
    <col min="12808" max="12809" width="8.42578125" style="2" customWidth="1"/>
    <col min="12810" max="12815" width="9.140625" style="2"/>
    <col min="12816" max="12816" width="10.140625" style="2" bestFit="1" customWidth="1"/>
    <col min="12817" max="12818" width="9.140625" style="2"/>
    <col min="12819" max="12819" width="6.7109375" style="2" customWidth="1"/>
    <col min="12820" max="12820" width="8.42578125" style="2" customWidth="1"/>
    <col min="12821" max="12827" width="14.42578125" style="2" customWidth="1"/>
    <col min="12828" max="12828" width="71.7109375" style="2" customWidth="1"/>
    <col min="12829" max="13058" width="9.140625" style="2"/>
    <col min="13059" max="13059" width="7.42578125" style="2" customWidth="1"/>
    <col min="13060" max="13063" width="14" style="2" customWidth="1"/>
    <col min="13064" max="13065" width="8.42578125" style="2" customWidth="1"/>
    <col min="13066" max="13071" width="9.140625" style="2"/>
    <col min="13072" max="13072" width="10.140625" style="2" bestFit="1" customWidth="1"/>
    <col min="13073" max="13074" width="9.140625" style="2"/>
    <col min="13075" max="13075" width="6.7109375" style="2" customWidth="1"/>
    <col min="13076" max="13076" width="8.42578125" style="2" customWidth="1"/>
    <col min="13077" max="13083" width="14.42578125" style="2" customWidth="1"/>
    <col min="13084" max="13084" width="71.7109375" style="2" customWidth="1"/>
    <col min="13085" max="13314" width="9.140625" style="2"/>
    <col min="13315" max="13315" width="7.42578125" style="2" customWidth="1"/>
    <col min="13316" max="13319" width="14" style="2" customWidth="1"/>
    <col min="13320" max="13321" width="8.42578125" style="2" customWidth="1"/>
    <col min="13322" max="13327" width="9.140625" style="2"/>
    <col min="13328" max="13328" width="10.140625" style="2" bestFit="1" customWidth="1"/>
    <col min="13329" max="13330" width="9.140625" style="2"/>
    <col min="13331" max="13331" width="6.7109375" style="2" customWidth="1"/>
    <col min="13332" max="13332" width="8.42578125" style="2" customWidth="1"/>
    <col min="13333" max="13339" width="14.42578125" style="2" customWidth="1"/>
    <col min="13340" max="13340" width="71.7109375" style="2" customWidth="1"/>
    <col min="13341" max="13570" width="9.140625" style="2"/>
    <col min="13571" max="13571" width="7.42578125" style="2" customWidth="1"/>
    <col min="13572" max="13575" width="14" style="2" customWidth="1"/>
    <col min="13576" max="13577" width="8.42578125" style="2" customWidth="1"/>
    <col min="13578" max="13583" width="9.140625" style="2"/>
    <col min="13584" max="13584" width="10.140625" style="2" bestFit="1" customWidth="1"/>
    <col min="13585" max="13586" width="9.140625" style="2"/>
    <col min="13587" max="13587" width="6.7109375" style="2" customWidth="1"/>
    <col min="13588" max="13588" width="8.42578125" style="2" customWidth="1"/>
    <col min="13589" max="13595" width="14.42578125" style="2" customWidth="1"/>
    <col min="13596" max="13596" width="71.7109375" style="2" customWidth="1"/>
    <col min="13597" max="13826" width="9.140625" style="2"/>
    <col min="13827" max="13827" width="7.42578125" style="2" customWidth="1"/>
    <col min="13828" max="13831" width="14" style="2" customWidth="1"/>
    <col min="13832" max="13833" width="8.42578125" style="2" customWidth="1"/>
    <col min="13834" max="13839" width="9.140625" style="2"/>
    <col min="13840" max="13840" width="10.140625" style="2" bestFit="1" customWidth="1"/>
    <col min="13841" max="13842" width="9.140625" style="2"/>
    <col min="13843" max="13843" width="6.7109375" style="2" customWidth="1"/>
    <col min="13844" max="13844" width="8.42578125" style="2" customWidth="1"/>
    <col min="13845" max="13851" width="14.42578125" style="2" customWidth="1"/>
    <col min="13852" max="13852" width="71.7109375" style="2" customWidth="1"/>
    <col min="13853" max="14082" width="9.140625" style="2"/>
    <col min="14083" max="14083" width="7.42578125" style="2" customWidth="1"/>
    <col min="14084" max="14087" width="14" style="2" customWidth="1"/>
    <col min="14088" max="14089" width="8.42578125" style="2" customWidth="1"/>
    <col min="14090" max="14095" width="9.140625" style="2"/>
    <col min="14096" max="14096" width="10.140625" style="2" bestFit="1" customWidth="1"/>
    <col min="14097" max="14098" width="9.140625" style="2"/>
    <col min="14099" max="14099" width="6.7109375" style="2" customWidth="1"/>
    <col min="14100" max="14100" width="8.42578125" style="2" customWidth="1"/>
    <col min="14101" max="14107" width="14.42578125" style="2" customWidth="1"/>
    <col min="14108" max="14108" width="71.7109375" style="2" customWidth="1"/>
    <col min="14109" max="14338" width="9.140625" style="2"/>
    <col min="14339" max="14339" width="7.42578125" style="2" customWidth="1"/>
    <col min="14340" max="14343" width="14" style="2" customWidth="1"/>
    <col min="14344" max="14345" width="8.42578125" style="2" customWidth="1"/>
    <col min="14346" max="14351" width="9.140625" style="2"/>
    <col min="14352" max="14352" width="10.140625" style="2" bestFit="1" customWidth="1"/>
    <col min="14353" max="14354" width="9.140625" style="2"/>
    <col min="14355" max="14355" width="6.7109375" style="2" customWidth="1"/>
    <col min="14356" max="14356" width="8.42578125" style="2" customWidth="1"/>
    <col min="14357" max="14363" width="14.42578125" style="2" customWidth="1"/>
    <col min="14364" max="14364" width="71.7109375" style="2" customWidth="1"/>
    <col min="14365" max="14594" width="9.140625" style="2"/>
    <col min="14595" max="14595" width="7.42578125" style="2" customWidth="1"/>
    <col min="14596" max="14599" width="14" style="2" customWidth="1"/>
    <col min="14600" max="14601" width="8.42578125" style="2" customWidth="1"/>
    <col min="14602" max="14607" width="9.140625" style="2"/>
    <col min="14608" max="14608" width="10.140625" style="2" bestFit="1" customWidth="1"/>
    <col min="14609" max="14610" width="9.140625" style="2"/>
    <col min="14611" max="14611" width="6.7109375" style="2" customWidth="1"/>
    <col min="14612" max="14612" width="8.42578125" style="2" customWidth="1"/>
    <col min="14613" max="14619" width="14.42578125" style="2" customWidth="1"/>
    <col min="14620" max="14620" width="71.7109375" style="2" customWidth="1"/>
    <col min="14621" max="14850" width="9.140625" style="2"/>
    <col min="14851" max="14851" width="7.42578125" style="2" customWidth="1"/>
    <col min="14852" max="14855" width="14" style="2" customWidth="1"/>
    <col min="14856" max="14857" width="8.42578125" style="2" customWidth="1"/>
    <col min="14858" max="14863" width="9.140625" style="2"/>
    <col min="14864" max="14864" width="10.140625" style="2" bestFit="1" customWidth="1"/>
    <col min="14865" max="14866" width="9.140625" style="2"/>
    <col min="14867" max="14867" width="6.7109375" style="2" customWidth="1"/>
    <col min="14868" max="14868" width="8.42578125" style="2" customWidth="1"/>
    <col min="14869" max="14875" width="14.42578125" style="2" customWidth="1"/>
    <col min="14876" max="14876" width="71.7109375" style="2" customWidth="1"/>
    <col min="14877" max="15106" width="9.140625" style="2"/>
    <col min="15107" max="15107" width="7.42578125" style="2" customWidth="1"/>
    <col min="15108" max="15111" width="14" style="2" customWidth="1"/>
    <col min="15112" max="15113" width="8.42578125" style="2" customWidth="1"/>
    <col min="15114" max="15119" width="9.140625" style="2"/>
    <col min="15120" max="15120" width="10.140625" style="2" bestFit="1" customWidth="1"/>
    <col min="15121" max="15122" width="9.140625" style="2"/>
    <col min="15123" max="15123" width="6.7109375" style="2" customWidth="1"/>
    <col min="15124" max="15124" width="8.42578125" style="2" customWidth="1"/>
    <col min="15125" max="15131" width="14.42578125" style="2" customWidth="1"/>
    <col min="15132" max="15132" width="71.7109375" style="2" customWidth="1"/>
    <col min="15133" max="15362" width="9.140625" style="2"/>
    <col min="15363" max="15363" width="7.42578125" style="2" customWidth="1"/>
    <col min="15364" max="15367" width="14" style="2" customWidth="1"/>
    <col min="15368" max="15369" width="8.42578125" style="2" customWidth="1"/>
    <col min="15370" max="15375" width="9.140625" style="2"/>
    <col min="15376" max="15376" width="10.140625" style="2" bestFit="1" customWidth="1"/>
    <col min="15377" max="15378" width="9.140625" style="2"/>
    <col min="15379" max="15379" width="6.7109375" style="2" customWidth="1"/>
    <col min="15380" max="15380" width="8.42578125" style="2" customWidth="1"/>
    <col min="15381" max="15387" width="14.42578125" style="2" customWidth="1"/>
    <col min="15388" max="15388" width="71.7109375" style="2" customWidth="1"/>
    <col min="15389" max="15618" width="9.140625" style="2"/>
    <col min="15619" max="15619" width="7.42578125" style="2" customWidth="1"/>
    <col min="15620" max="15623" width="14" style="2" customWidth="1"/>
    <col min="15624" max="15625" width="8.42578125" style="2" customWidth="1"/>
    <col min="15626" max="15631" width="9.140625" style="2"/>
    <col min="15632" max="15632" width="10.140625" style="2" bestFit="1" customWidth="1"/>
    <col min="15633" max="15634" width="9.140625" style="2"/>
    <col min="15635" max="15635" width="6.7109375" style="2" customWidth="1"/>
    <col min="15636" max="15636" width="8.42578125" style="2" customWidth="1"/>
    <col min="15637" max="15643" width="14.42578125" style="2" customWidth="1"/>
    <col min="15644" max="15644" width="71.7109375" style="2" customWidth="1"/>
    <col min="15645" max="15874" width="9.140625" style="2"/>
    <col min="15875" max="15875" width="7.42578125" style="2" customWidth="1"/>
    <col min="15876" max="15879" width="14" style="2" customWidth="1"/>
    <col min="15880" max="15881" width="8.42578125" style="2" customWidth="1"/>
    <col min="15882" max="15887" width="9.140625" style="2"/>
    <col min="15888" max="15888" width="10.140625" style="2" bestFit="1" customWidth="1"/>
    <col min="15889" max="15890" width="9.140625" style="2"/>
    <col min="15891" max="15891" width="6.7109375" style="2" customWidth="1"/>
    <col min="15892" max="15892" width="8.42578125" style="2" customWidth="1"/>
    <col min="15893" max="15899" width="14.42578125" style="2" customWidth="1"/>
    <col min="15900" max="15900" width="71.7109375" style="2" customWidth="1"/>
    <col min="15901" max="16130" width="9.140625" style="2"/>
    <col min="16131" max="16131" width="7.42578125" style="2" customWidth="1"/>
    <col min="16132" max="16135" width="14" style="2" customWidth="1"/>
    <col min="16136" max="16137" width="8.42578125" style="2" customWidth="1"/>
    <col min="16138" max="16143" width="9.140625" style="2"/>
    <col min="16144" max="16144" width="10.140625" style="2" bestFit="1" customWidth="1"/>
    <col min="16145" max="16146" width="9.140625" style="2"/>
    <col min="16147" max="16147" width="6.7109375" style="2" customWidth="1"/>
    <col min="16148" max="16148" width="8.42578125" style="2" customWidth="1"/>
    <col min="16149" max="16155" width="14.42578125" style="2" customWidth="1"/>
    <col min="16156" max="16156" width="71.7109375" style="2" customWidth="1"/>
    <col min="16157" max="16384" width="9.140625" style="2"/>
  </cols>
  <sheetData>
    <row r="1" spans="1:28" s="12" customFormat="1" ht="18.75" x14ac:dyDescent="0.3">
      <c r="A1" s="390" t="s">
        <v>596</v>
      </c>
      <c r="B1" s="390"/>
      <c r="C1" s="390"/>
      <c r="D1" s="390"/>
      <c r="E1" s="390"/>
      <c r="F1" s="390"/>
      <c r="G1" s="390"/>
      <c r="H1" s="390"/>
      <c r="I1" s="390"/>
      <c r="J1" s="390"/>
      <c r="K1" s="390"/>
      <c r="L1" s="390"/>
      <c r="M1" s="390"/>
      <c r="N1" s="390"/>
      <c r="O1" s="390"/>
      <c r="P1" s="390"/>
      <c r="Q1" s="390"/>
      <c r="R1" s="390"/>
      <c r="S1" s="390"/>
    </row>
    <row r="2" spans="1:28" s="12" customFormat="1" ht="38.25" customHeight="1" x14ac:dyDescent="0.3">
      <c r="A2" s="391" t="s">
        <v>121</v>
      </c>
      <c r="B2" s="391"/>
      <c r="C2" s="391"/>
      <c r="D2" s="391"/>
      <c r="E2" s="391"/>
      <c r="F2" s="391"/>
      <c r="G2" s="391"/>
      <c r="H2" s="391"/>
      <c r="I2" s="391"/>
      <c r="J2" s="391"/>
      <c r="K2" s="391"/>
      <c r="L2" s="391"/>
      <c r="M2" s="391"/>
      <c r="N2" s="391"/>
      <c r="O2" s="391"/>
      <c r="P2" s="391"/>
      <c r="Q2" s="391"/>
      <c r="R2" s="391"/>
      <c r="S2" s="391"/>
      <c r="T2" s="11"/>
    </row>
    <row r="3" spans="1:28" s="12" customFormat="1" ht="24" customHeight="1" x14ac:dyDescent="0.25">
      <c r="A3" s="410" t="s">
        <v>597</v>
      </c>
      <c r="B3" s="410"/>
      <c r="C3" s="410"/>
      <c r="D3" s="410"/>
      <c r="E3" s="410"/>
      <c r="F3" s="410"/>
      <c r="G3" s="410"/>
      <c r="H3" s="410"/>
      <c r="I3" s="410"/>
      <c r="J3" s="410"/>
      <c r="K3" s="410"/>
      <c r="L3" s="410"/>
      <c r="M3" s="410"/>
      <c r="N3" s="410"/>
      <c r="O3" s="410"/>
      <c r="P3" s="410"/>
      <c r="Q3" s="410"/>
      <c r="R3" s="410"/>
      <c r="S3" s="410"/>
      <c r="T3" s="11"/>
    </row>
    <row r="4" spans="1:28" ht="15.75" thickBot="1" x14ac:dyDescent="0.3"/>
    <row r="5" spans="1:28" s="1" customFormat="1" ht="27" customHeight="1" thickTop="1" x14ac:dyDescent="0.25">
      <c r="A5" s="399" t="s">
        <v>58</v>
      </c>
      <c r="B5" s="402" t="s">
        <v>59</v>
      </c>
      <c r="C5" s="392" t="s">
        <v>8</v>
      </c>
      <c r="D5" s="392" t="s">
        <v>60</v>
      </c>
      <c r="E5" s="392" t="s">
        <v>61</v>
      </c>
      <c r="F5" s="392" t="s">
        <v>62</v>
      </c>
      <c r="G5" s="392" t="s">
        <v>63</v>
      </c>
      <c r="H5" s="392" t="s">
        <v>64</v>
      </c>
      <c r="I5" s="392"/>
      <c r="J5" s="392"/>
      <c r="K5" s="392"/>
      <c r="L5" s="392"/>
      <c r="M5" s="392"/>
      <c r="N5" s="392" t="s">
        <v>122</v>
      </c>
      <c r="O5" s="392" t="s">
        <v>65</v>
      </c>
      <c r="P5" s="394" t="s">
        <v>66</v>
      </c>
      <c r="Q5" s="394" t="s">
        <v>67</v>
      </c>
      <c r="R5" s="394" t="s">
        <v>68</v>
      </c>
      <c r="S5" s="397" t="s">
        <v>126</v>
      </c>
      <c r="T5" s="407"/>
      <c r="U5" s="407"/>
      <c r="V5" s="406"/>
    </row>
    <row r="6" spans="1:28" s="1" customFormat="1" ht="18" customHeight="1" x14ac:dyDescent="0.25">
      <c r="A6" s="400"/>
      <c r="B6" s="403"/>
      <c r="C6" s="393"/>
      <c r="D6" s="393"/>
      <c r="E6" s="393"/>
      <c r="F6" s="393"/>
      <c r="G6" s="393"/>
      <c r="H6" s="393" t="s">
        <v>69</v>
      </c>
      <c r="I6" s="393" t="s">
        <v>70</v>
      </c>
      <c r="J6" s="393"/>
      <c r="K6" s="393" t="s">
        <v>71</v>
      </c>
      <c r="L6" s="396" t="s">
        <v>70</v>
      </c>
      <c r="M6" s="396"/>
      <c r="N6" s="393"/>
      <c r="O6" s="393"/>
      <c r="P6" s="395"/>
      <c r="Q6" s="395"/>
      <c r="R6" s="395"/>
      <c r="S6" s="398"/>
      <c r="T6" s="407"/>
      <c r="U6" s="407"/>
      <c r="V6" s="406"/>
    </row>
    <row r="7" spans="1:28" s="1" customFormat="1" ht="105.75" customHeight="1" x14ac:dyDescent="0.25">
      <c r="A7" s="401"/>
      <c r="B7" s="404"/>
      <c r="C7" s="393"/>
      <c r="D7" s="393"/>
      <c r="E7" s="393"/>
      <c r="F7" s="393"/>
      <c r="G7" s="393"/>
      <c r="H7" s="393"/>
      <c r="I7" s="304" t="s">
        <v>71</v>
      </c>
      <c r="J7" s="304" t="s">
        <v>72</v>
      </c>
      <c r="K7" s="393"/>
      <c r="L7" s="192" t="s">
        <v>123</v>
      </c>
      <c r="M7" s="192" t="s">
        <v>124</v>
      </c>
      <c r="N7" s="393"/>
      <c r="O7" s="393"/>
      <c r="P7" s="395"/>
      <c r="Q7" s="395"/>
      <c r="R7" s="395"/>
      <c r="S7" s="398"/>
      <c r="T7" s="407"/>
      <c r="U7" s="407"/>
      <c r="V7" s="406"/>
    </row>
    <row r="8" spans="1:28" ht="15" customHeight="1" x14ac:dyDescent="0.25">
      <c r="A8" s="206">
        <v>1</v>
      </c>
      <c r="B8" s="193">
        <f>+A8+1</f>
        <v>2</v>
      </c>
      <c r="C8" s="193">
        <f t="shared" ref="C8:S8" si="0">+B8+1</f>
        <v>3</v>
      </c>
      <c r="D8" s="193">
        <f t="shared" si="0"/>
        <v>4</v>
      </c>
      <c r="E8" s="193">
        <f t="shared" si="0"/>
        <v>5</v>
      </c>
      <c r="F8" s="193">
        <f t="shared" si="0"/>
        <v>6</v>
      </c>
      <c r="G8" s="193">
        <f t="shared" si="0"/>
        <v>7</v>
      </c>
      <c r="H8" s="193">
        <f t="shared" si="0"/>
        <v>8</v>
      </c>
      <c r="I8" s="193">
        <f t="shared" si="0"/>
        <v>9</v>
      </c>
      <c r="J8" s="193">
        <f t="shared" si="0"/>
        <v>10</v>
      </c>
      <c r="K8" s="193">
        <f t="shared" si="0"/>
        <v>11</v>
      </c>
      <c r="L8" s="193">
        <f t="shared" si="0"/>
        <v>12</v>
      </c>
      <c r="M8" s="193">
        <f t="shared" si="0"/>
        <v>13</v>
      </c>
      <c r="N8" s="193">
        <f t="shared" si="0"/>
        <v>14</v>
      </c>
      <c r="O8" s="193">
        <f t="shared" si="0"/>
        <v>15</v>
      </c>
      <c r="P8" s="312">
        <f t="shared" si="0"/>
        <v>16</v>
      </c>
      <c r="Q8" s="312">
        <f t="shared" si="0"/>
        <v>17</v>
      </c>
      <c r="R8" s="312">
        <f t="shared" si="0"/>
        <v>18</v>
      </c>
      <c r="S8" s="313">
        <f t="shared" si="0"/>
        <v>19</v>
      </c>
      <c r="T8" s="207"/>
      <c r="U8" s="193"/>
      <c r="V8" s="193"/>
    </row>
    <row r="9" spans="1:28" s="211" customFormat="1" ht="84.75" customHeight="1" x14ac:dyDescent="0.25">
      <c r="A9" s="194">
        <v>1</v>
      </c>
      <c r="B9" s="8" t="str">
        <f>+'Ng Vũ Mạnh(5-23+86)'!F9</f>
        <v>Nguyễn Vũ Mạnh - Nguyễn Thị Luân</v>
      </c>
      <c r="C9" s="34" t="str">
        <f>+'Ng Vũ Mạnh(5-23+86)'!C12</f>
        <v>001090006511</v>
      </c>
      <c r="D9" s="205" t="str">
        <f>+'Ng Vũ Mạnh(5-23+86)'!C10</f>
        <v>Thôn Thanh Trì - Xã Phú Nghĩa - TP Hà Nội</v>
      </c>
      <c r="E9" s="34" t="str">
        <f>+'Ng Vũ Mạnh(5-23+86)'!C24</f>
        <v>Vị trí 1-Quốc Lộ 6 - Thôn Thanh Trì-  xã Phú Nghĩa - TP Hà Nội</v>
      </c>
      <c r="F9" s="188" t="str">
        <f>+'Ng Vũ Mạnh(5-23+86)'!F19</f>
        <v>05</v>
      </c>
      <c r="G9" s="188" t="str">
        <f>+'Ng Vũ Mạnh(5-23+86)'!C19</f>
        <v>23+86</v>
      </c>
      <c r="H9" s="190">
        <f>+'Ng Vũ Mạnh(5-23+86)'!C20</f>
        <v>491.8</v>
      </c>
      <c r="I9" s="190">
        <f>+'Ng Vũ Mạnh(5-23+86)'!C22</f>
        <v>70.5</v>
      </c>
      <c r="J9" s="190">
        <f>+H9-I9</f>
        <v>421.3</v>
      </c>
      <c r="K9" s="190">
        <f>I9</f>
        <v>70.5</v>
      </c>
      <c r="L9" s="190"/>
      <c r="M9" s="190">
        <f t="shared" ref="M9:M41" si="1">I9</f>
        <v>70.5</v>
      </c>
      <c r="N9" s="190" t="str">
        <f>+'Ng Vũ Mạnh(5-23+86)'!H26</f>
        <v>01</v>
      </c>
      <c r="O9" s="188" t="str">
        <f>+'Ng Vũ Mạnh(5-23+86)'!H27</f>
        <v>06</v>
      </c>
      <c r="P9" s="189">
        <f>+'Ng Vũ Mạnh(5-23+86)'!H34</f>
        <v>0</v>
      </c>
      <c r="Q9" s="189">
        <f>+'Ng Vũ Mạnh(5-23+86)'!H49</f>
        <v>0</v>
      </c>
      <c r="R9" s="189">
        <f>+'Ng Vũ Mạnh(5-23+86)'!H61</f>
        <v>0</v>
      </c>
      <c r="S9" s="311">
        <f>+SUM(P9:R9)</f>
        <v>0</v>
      </c>
      <c r="T9" s="208"/>
      <c r="U9" s="208"/>
      <c r="V9" s="209"/>
      <c r="W9" s="195"/>
      <c r="X9" s="9"/>
      <c r="Y9" s="16"/>
      <c r="Z9" s="210" t="e">
        <f>#REF!</f>
        <v>#REF!</v>
      </c>
      <c r="AA9" s="209" t="s">
        <v>79</v>
      </c>
      <c r="AB9" s="211" t="e">
        <f>#REF!</f>
        <v>#REF!</v>
      </c>
    </row>
    <row r="10" spans="1:28" s="211" customFormat="1" ht="75" customHeight="1" x14ac:dyDescent="0.25">
      <c r="A10" s="194">
        <f>+A9+1</f>
        <v>2</v>
      </c>
      <c r="B10" s="8" t="str">
        <f>+'Trần Cao Giới(5-43)'!F9</f>
        <v>Trần Cao Giới</v>
      </c>
      <c r="C10" s="34" t="str">
        <f>+'Trần Cao Giới(5-43)'!C12</f>
        <v>001062025102</v>
      </c>
      <c r="D10" s="205" t="str">
        <f>+'Trần Cao Giới(5-43)'!C10</f>
        <v>Thôn Phố Gốt- Xã Phú Nghĩa - TP Hà Nội</v>
      </c>
      <c r="E10" s="34" t="str">
        <f>+'Trần Cao Giới(5-43)'!C24</f>
        <v>Vị trí 1-Quốc Lộ 6 - Thôn Phố Gốt-  xã Phú Nghĩa - TP Hà Nội</v>
      </c>
      <c r="F10" s="188" t="str">
        <f>+'Trần Cao Giới(5-43)'!F19</f>
        <v>05</v>
      </c>
      <c r="G10" s="188">
        <f>+'Trần Cao Giới(5-43)'!C19</f>
        <v>43</v>
      </c>
      <c r="H10" s="190">
        <f>+'Trần Cao Giới(5-43)'!C20</f>
        <v>55.5</v>
      </c>
      <c r="I10" s="190">
        <f>+'Trần Cao Giới(5-43)'!C22</f>
        <v>46.1</v>
      </c>
      <c r="J10" s="190">
        <f>+H10-I10</f>
        <v>9.3999999999999986</v>
      </c>
      <c r="K10" s="190">
        <f t="shared" ref="K10:K41" si="2">I10</f>
        <v>46.1</v>
      </c>
      <c r="L10" s="190"/>
      <c r="M10" s="190">
        <f t="shared" si="1"/>
        <v>46.1</v>
      </c>
      <c r="N10" s="190" t="str">
        <f>+'Trần Cao Giới(5-43)'!H26</f>
        <v>01</v>
      </c>
      <c r="O10" s="188" t="str">
        <f>+'Trần Cao Giới(5-43)'!H27</f>
        <v>04</v>
      </c>
      <c r="P10" s="189">
        <f>+'Trần Cao Giới(5-43)'!H34</f>
        <v>0</v>
      </c>
      <c r="Q10" s="188">
        <f>+'Trần Cao Giới(5-43)'!H49</f>
        <v>0</v>
      </c>
      <c r="R10" s="188">
        <f>+'Trần Cao Giới(5-43)'!H66</f>
        <v>0</v>
      </c>
      <c r="S10" s="311">
        <f t="shared" ref="S10:S28" si="3">+SUM(P10:R10)</f>
        <v>0</v>
      </c>
      <c r="T10" s="212"/>
      <c r="U10" s="212"/>
      <c r="W10" s="196"/>
      <c r="X10" s="9"/>
      <c r="Y10" s="16">
        <f>SUM(R10:X10)</f>
        <v>0</v>
      </c>
      <c r="Z10" s="213" t="e">
        <f>#REF!</f>
        <v>#REF!</v>
      </c>
      <c r="AA10" s="209" t="s">
        <v>79</v>
      </c>
      <c r="AB10" s="211" t="e">
        <f>#REF!</f>
        <v>#REF!</v>
      </c>
    </row>
    <row r="11" spans="1:28" s="211" customFormat="1" ht="56.25" x14ac:dyDescent="0.25">
      <c r="A11" s="194">
        <f t="shared" ref="A11:A41" si="4">+A10+1</f>
        <v>3</v>
      </c>
      <c r="B11" s="8" t="str">
        <f>+'Ng Thị Hòa(5-14)'!F9</f>
        <v xml:space="preserve">Đại diện hộ bà Nguyễn Thị Hòa </v>
      </c>
      <c r="C11" s="34" t="str">
        <f>+'Ng Thị Hòa(5-14)'!C12</f>
        <v>001166020878</v>
      </c>
      <c r="D11" s="205" t="str">
        <f>+'Ng Thị Hòa(5-14)'!C10</f>
        <v>Thôn Phố Gốt- xã Phú Nghĩa - TP Hà Nội</v>
      </c>
      <c r="E11" s="34" t="str">
        <f>+'Ng Thị Hòa(5-14)'!C24</f>
        <v>Vị trí 1-Quốc Lộ 6 - Thôn Phố Gốt - xã Phú Nghĩa - TP Hà Nội</v>
      </c>
      <c r="F11" s="188" t="str">
        <f>+'Ng Thị Hòa(5-14)'!F19</f>
        <v>05</v>
      </c>
      <c r="G11" s="188">
        <f>+'Ng Thị Hòa(5-14)'!C19</f>
        <v>14</v>
      </c>
      <c r="H11" s="190">
        <f>+'Ng Thị Hòa(5-14)'!C20</f>
        <v>265.7</v>
      </c>
      <c r="I11" s="190">
        <f>+'Ng Thị Hòa(5-14)'!C22</f>
        <v>37.299999999999997</v>
      </c>
      <c r="J11" s="190">
        <f t="shared" ref="J11:J41" si="5">+H11-I11</f>
        <v>228.39999999999998</v>
      </c>
      <c r="K11" s="190">
        <f t="shared" si="2"/>
        <v>37.299999999999997</v>
      </c>
      <c r="L11" s="190"/>
      <c r="M11" s="190">
        <f t="shared" si="1"/>
        <v>37.299999999999997</v>
      </c>
      <c r="N11" s="190" t="str">
        <f>+'Ng Thị Hòa(5-14)'!H26</f>
        <v>01</v>
      </c>
      <c r="O11" s="188" t="str">
        <f>+'Ng Thị Hòa(5-14)'!H27</f>
        <v>02</v>
      </c>
      <c r="P11" s="189">
        <f>+'Ng Thị Hòa(5-14)'!H34</f>
        <v>0</v>
      </c>
      <c r="Q11" s="189">
        <f>+'Ng Thị Hòa(5-14)'!H49</f>
        <v>0</v>
      </c>
      <c r="R11" s="189">
        <f>+'Ng Thị Hòa(5-14)'!H59</f>
        <v>0</v>
      </c>
      <c r="S11" s="311">
        <f t="shared" si="3"/>
        <v>0</v>
      </c>
      <c r="T11" s="208"/>
      <c r="U11" s="208"/>
      <c r="V11" s="209"/>
      <c r="W11" s="195"/>
      <c r="X11" s="9"/>
      <c r="Y11" s="16"/>
      <c r="Z11" s="213" t="e">
        <f>#REF!</f>
        <v>#REF!</v>
      </c>
      <c r="AA11" s="209" t="s">
        <v>79</v>
      </c>
      <c r="AB11" s="211" t="e">
        <f>#REF!</f>
        <v>#REF!</v>
      </c>
    </row>
    <row r="12" spans="1:28" s="211" customFormat="1" ht="82.5" customHeight="1" x14ac:dyDescent="0.25">
      <c r="A12" s="194">
        <f t="shared" si="4"/>
        <v>4</v>
      </c>
      <c r="B12" s="8" t="str">
        <f>+'Ng Thị Hòa(5-68)'!F9</f>
        <v>Đại diện hộ bà Nguyễn Thị Hòa</v>
      </c>
      <c r="C12" s="34" t="str">
        <f>+'Ng Thị Hòa(5-68)'!C12</f>
        <v>001166020878</v>
      </c>
      <c r="D12" s="205" t="str">
        <f>+'Ng Thị Hòa(5-68)'!C10</f>
        <v>Thôn Phố Gốt- xã Phú Nghĩa - TP Hà Nội</v>
      </c>
      <c r="E12" s="34" t="str">
        <f>+'Ng Thị Hòa(5-68)'!C24</f>
        <v>Vị trí 1-Quốc Lộ 6 - Thôn Phố Gốt - xã Phú Nghĩa - TP Hà Nội</v>
      </c>
      <c r="F12" s="188" t="str">
        <f>+'Ng Thị Hòa(5-68)'!F19</f>
        <v>05</v>
      </c>
      <c r="G12" s="188">
        <f>+'Ng Thị Hòa(5-68)'!C19</f>
        <v>68</v>
      </c>
      <c r="H12" s="190">
        <f>+'Ng Thị Hòa(5-68)'!C20</f>
        <v>33.5</v>
      </c>
      <c r="I12" s="190">
        <f>+'Ng Thị Hòa(5-68)'!C22</f>
        <v>33.5</v>
      </c>
      <c r="J12" s="190">
        <f t="shared" si="5"/>
        <v>0</v>
      </c>
      <c r="K12" s="190">
        <f t="shared" si="2"/>
        <v>33.5</v>
      </c>
      <c r="L12" s="190"/>
      <c r="M12" s="190">
        <f t="shared" si="1"/>
        <v>33.5</v>
      </c>
      <c r="N12" s="190" t="str">
        <f>+'Ng Thị Hòa(5-68)'!H26</f>
        <v>01</v>
      </c>
      <c r="O12" s="188" t="str">
        <f>+'Ng Thị Hòa(5-68)'!H27</f>
        <v>02</v>
      </c>
      <c r="P12" s="189">
        <f>+'Ng Thị Hòa(5-68)'!H34</f>
        <v>0</v>
      </c>
      <c r="Q12" s="189">
        <f>+'Ng Thị Hòa(5-68)'!H49</f>
        <v>0</v>
      </c>
      <c r="R12" s="189">
        <f>+'Ng Thị Hòa(5-68)'!H55</f>
        <v>0</v>
      </c>
      <c r="S12" s="311">
        <f t="shared" si="3"/>
        <v>0</v>
      </c>
      <c r="T12" s="208"/>
      <c r="U12" s="208"/>
      <c r="W12" s="196"/>
      <c r="X12" s="9"/>
      <c r="Y12" s="16"/>
      <c r="Z12" s="213" t="e">
        <f>#REF!</f>
        <v>#REF!</v>
      </c>
      <c r="AA12" s="209" t="s">
        <v>79</v>
      </c>
      <c r="AB12" s="211" t="e">
        <f>#REF!</f>
        <v>#REF!</v>
      </c>
    </row>
    <row r="13" spans="1:28" s="211" customFormat="1" ht="82.5" customHeight="1" x14ac:dyDescent="0.25">
      <c r="A13" s="194">
        <f t="shared" si="4"/>
        <v>5</v>
      </c>
      <c r="B13" s="8" t="str">
        <f>+'Trần Đăng Định (4-53)'!F9</f>
        <v>Trần Đăng Định - Đỗ Thị Hạnh</v>
      </c>
      <c r="C13" s="34" t="str">
        <f>+'Trần Đăng Định (4-53)'!C12</f>
        <v>001081009370</v>
      </c>
      <c r="D13" s="205" t="str">
        <f>+'Trần Đăng Định (4-53)'!C10</f>
        <v>Thôn Thanh Trì - xã Phú Nghĩa - TP Hà Nội</v>
      </c>
      <c r="E13" s="34" t="str">
        <f>+'Trần Đăng Định (4-53)'!C24</f>
        <v>Thôn Phố Gót - xã Phú Nghĩa - TP Hà Nội</v>
      </c>
      <c r="F13" s="188" t="str">
        <f>+'Trần Đăng Định (4-53)'!F19</f>
        <v>04</v>
      </c>
      <c r="G13" s="188">
        <f>+'Trần Đăng Định (4-53)'!C19</f>
        <v>53</v>
      </c>
      <c r="H13" s="190">
        <f>+'Trần Đăng Định (4-53)'!C20</f>
        <v>92.6</v>
      </c>
      <c r="I13" s="190">
        <f>+'Trần Đăng Định (4-53)'!C22</f>
        <v>92.6</v>
      </c>
      <c r="J13" s="190">
        <f t="shared" si="5"/>
        <v>0</v>
      </c>
      <c r="K13" s="190">
        <f t="shared" si="2"/>
        <v>92.6</v>
      </c>
      <c r="L13" s="190"/>
      <c r="M13" s="190">
        <f t="shared" si="1"/>
        <v>92.6</v>
      </c>
      <c r="N13" s="190" t="str">
        <f>+'Trần Đăng Định (4-53)'!H26</f>
        <v>01</v>
      </c>
      <c r="O13" s="188" t="str">
        <f>+'Trần Đăng Định (4-53)'!H27</f>
        <v>04</v>
      </c>
      <c r="P13" s="189">
        <f>+'Trần Đăng Định (4-53)'!H34</f>
        <v>0</v>
      </c>
      <c r="Q13" s="188">
        <f>+'Trần Đăng Định (4-53)'!H49</f>
        <v>0</v>
      </c>
      <c r="R13" s="188">
        <f>+'Trần Đăng Định (4-53)'!H57</f>
        <v>0</v>
      </c>
      <c r="S13" s="311">
        <f t="shared" si="3"/>
        <v>0</v>
      </c>
      <c r="T13" s="212"/>
      <c r="U13" s="212"/>
      <c r="W13" s="196"/>
      <c r="X13" s="9"/>
      <c r="Y13" s="16"/>
      <c r="Z13" s="213" t="e">
        <f>#REF!</f>
        <v>#REF!</v>
      </c>
      <c r="AA13" s="209" t="s">
        <v>79</v>
      </c>
      <c r="AB13" s="211" t="e">
        <f>#REF!</f>
        <v>#REF!</v>
      </c>
    </row>
    <row r="14" spans="1:28" s="211" customFormat="1" ht="56.25" x14ac:dyDescent="0.25">
      <c r="A14" s="194">
        <f t="shared" si="4"/>
        <v>6</v>
      </c>
      <c r="B14" s="8" t="str">
        <f>+'Đỗ Thị Ngọc (5-7)'!F9</f>
        <v>Đỗ Thị Ngọc</v>
      </c>
      <c r="C14" s="34" t="str">
        <f>+'Đỗ Thị Ngọc (5-7)'!C12</f>
        <v>001166010279</v>
      </c>
      <c r="D14" s="205" t="str">
        <f>+'Đỗ Thị Ngọc (5-7)'!C10</f>
        <v>TDP Xuân Hà - xã Xuân Mai - TP Hà Nội</v>
      </c>
      <c r="E14" s="34" t="str">
        <f>+'Đỗ Thị Ngọc (5-7)'!C24</f>
        <v>Thôn Phố Gốt - xã Phú Nghĩa - TP Hà Nội</v>
      </c>
      <c r="F14" s="188" t="str">
        <f>+'Đỗ Thị Ngọc (5-7)'!F19</f>
        <v>05</v>
      </c>
      <c r="G14" s="188" t="str">
        <f>+'Đỗ Thị Ngọc (5-7)'!C19</f>
        <v>07</v>
      </c>
      <c r="H14" s="190">
        <f>+'Đỗ Thị Ngọc (5-7)'!C20</f>
        <v>161.19999999999999</v>
      </c>
      <c r="I14" s="190">
        <f>+'Đỗ Thị Ngọc (5-7)'!C22</f>
        <v>110.8</v>
      </c>
      <c r="J14" s="190">
        <f t="shared" si="5"/>
        <v>50.399999999999991</v>
      </c>
      <c r="K14" s="190">
        <f t="shared" si="2"/>
        <v>110.8</v>
      </c>
      <c r="L14" s="190"/>
      <c r="M14" s="190">
        <f t="shared" si="1"/>
        <v>110.8</v>
      </c>
      <c r="N14" s="190">
        <f>+'Đỗ Thị Ngọc (5-7)'!H26</f>
        <v>0</v>
      </c>
      <c r="O14" s="188">
        <f>+'Đỗ Thị Ngọc (5-7)'!H27</f>
        <v>0</v>
      </c>
      <c r="P14" s="189">
        <f>+'Đỗ Thị Ngọc (5-7)'!H34</f>
        <v>0</v>
      </c>
      <c r="Q14" s="189">
        <f>+'Đỗ Thị Ngọc (5-7)'!H49</f>
        <v>0</v>
      </c>
      <c r="R14" s="189">
        <f>+'Đỗ Thị Ngọc (5-7)'!H61</f>
        <v>0</v>
      </c>
      <c r="S14" s="311">
        <f t="shared" si="3"/>
        <v>0</v>
      </c>
      <c r="T14" s="208"/>
      <c r="U14" s="208"/>
      <c r="W14" s="196"/>
      <c r="X14" s="9"/>
      <c r="Y14" s="16"/>
      <c r="Z14" s="213" t="e">
        <f>#REF!</f>
        <v>#REF!</v>
      </c>
      <c r="AA14" s="209" t="s">
        <v>79</v>
      </c>
      <c r="AB14" s="211" t="e">
        <f>#REF!</f>
        <v>#REF!</v>
      </c>
    </row>
    <row r="15" spans="1:28" s="211" customFormat="1" ht="81.75" customHeight="1" x14ac:dyDescent="0.25">
      <c r="A15" s="194">
        <f t="shared" si="4"/>
        <v>7</v>
      </c>
      <c r="B15" s="8" t="str">
        <f>+'Nguyễn Văn Chiến (5-9)'!F9</f>
        <v>Nguyễn Văn Chiến</v>
      </c>
      <c r="C15" s="34" t="str">
        <f>+'Nguyễn Văn Chiến (5-9)'!C12</f>
        <v>001050018475</v>
      </c>
      <c r="D15" s="205" t="str">
        <f>+'Nguyễn Văn Chiến (5-9)'!C10</f>
        <v>Thôn Phố Gốt- xã Phú Nghĩa - TP Hà Nội</v>
      </c>
      <c r="E15" s="34" t="str">
        <f>+'Nguyễn Văn Chiến (5-9)'!C24</f>
        <v>Thôn Phố Gốt - Xã Phú Nghĩa - TP Hà Nội</v>
      </c>
      <c r="F15" s="188" t="str">
        <f>+'Nguyễn Văn Chiến (5-9)'!F19</f>
        <v>05</v>
      </c>
      <c r="G15" s="34" t="str">
        <f>+'Nguyễn Văn Chiến (5-9)'!C19</f>
        <v>09</v>
      </c>
      <c r="H15" s="190">
        <f>+'Nguyễn Văn Chiến (5-9)'!C20</f>
        <v>26.6</v>
      </c>
      <c r="I15" s="190">
        <f>+'Nguyễn Văn Chiến (5-9)'!C22</f>
        <v>26.6</v>
      </c>
      <c r="J15" s="190">
        <f t="shared" si="5"/>
        <v>0</v>
      </c>
      <c r="K15" s="190">
        <f t="shared" si="2"/>
        <v>26.6</v>
      </c>
      <c r="L15" s="190"/>
      <c r="M15" s="190">
        <f t="shared" si="1"/>
        <v>26.6</v>
      </c>
      <c r="N15" s="190" t="str">
        <f>+'Nguyễn Văn Chiến (5-9)'!H26</f>
        <v>01</v>
      </c>
      <c r="O15" s="188" t="str">
        <f>+'Nguyễn Văn Chiến (5-9)'!H27</f>
        <v>05</v>
      </c>
      <c r="P15" s="189">
        <f>+'Nguyễn Văn Chiến (5-9)'!H34</f>
        <v>0</v>
      </c>
      <c r="Q15" s="189">
        <f>+'Nguyễn Văn Chiến (5-9)'!H49</f>
        <v>0</v>
      </c>
      <c r="R15" s="188">
        <f>+'Nguyễn Văn Chiến (5-9)'!H56</f>
        <v>0</v>
      </c>
      <c r="S15" s="311">
        <f t="shared" si="3"/>
        <v>0</v>
      </c>
      <c r="T15" s="208"/>
      <c r="U15" s="212"/>
      <c r="W15" s="196"/>
      <c r="X15" s="9"/>
      <c r="Y15" s="16"/>
      <c r="Z15" s="213" t="e">
        <f>#REF!</f>
        <v>#REF!</v>
      </c>
      <c r="AA15" s="209" t="s">
        <v>79</v>
      </c>
      <c r="AB15" s="211" t="e">
        <f>#REF!</f>
        <v>#REF!</v>
      </c>
    </row>
    <row r="16" spans="1:28" s="211" customFormat="1" ht="84.75" customHeight="1" x14ac:dyDescent="0.25">
      <c r="A16" s="194">
        <f t="shared" si="4"/>
        <v>8</v>
      </c>
      <c r="B16" s="8" t="str">
        <f>'Nguyễn Thị Vân (5-8)'!F9</f>
        <v>Nguyễn Thị Vân</v>
      </c>
      <c r="C16" s="34" t="str">
        <f>'Nguyễn Thị Vân (5-8)'!C12:E12</f>
        <v>001152014624</v>
      </c>
      <c r="D16" s="205" t="str">
        <f>'Nguyễn Thị Vân (5-8)'!C10</f>
        <v>Thôn Phố Gốt - xã Phú Nghĩa - TP Hà Nội</v>
      </c>
      <c r="E16" s="34" t="str">
        <f>'Nguyễn Thị Vân (5-8)'!C24</f>
        <v>Thôn Phố Gốt - Xã Phú Nghĩa - TP Hà Nội</v>
      </c>
      <c r="F16" s="188" t="str">
        <f>'Nguyễn Thị Vân (5-8)'!F19</f>
        <v>04</v>
      </c>
      <c r="G16" s="188" t="str">
        <f>'Nguyễn Thị Vân (5-8)'!C19</f>
        <v>05</v>
      </c>
      <c r="H16" s="190">
        <f>'Nguyễn Thị Vân (5-8)'!C20</f>
        <v>25.2</v>
      </c>
      <c r="I16" s="190">
        <f>'Nguyễn Thị Vân (5-8)'!C22</f>
        <v>25.2</v>
      </c>
      <c r="J16" s="190">
        <f>'Nguyễn Thị Vân (5-8)'!C23</f>
        <v>0</v>
      </c>
      <c r="K16" s="190">
        <f t="shared" si="2"/>
        <v>25.2</v>
      </c>
      <c r="L16" s="190"/>
      <c r="M16" s="190">
        <f t="shared" si="1"/>
        <v>25.2</v>
      </c>
      <c r="N16" s="190">
        <f>'Nguyễn Thị Vân (5-8)'!H26</f>
        <v>0</v>
      </c>
      <c r="O16" s="188" t="str">
        <f>'Nguyễn Thị Vân (5-8)'!H27</f>
        <v>06</v>
      </c>
      <c r="P16" s="189">
        <f>+'[1]Bùi Văn Đồng(8-23)'!H34</f>
        <v>0</v>
      </c>
      <c r="Q16" s="189">
        <f>+'[1]Bùi Văn Đồng(8-23)'!H49</f>
        <v>0</v>
      </c>
      <c r="R16" s="188">
        <f>+'[1]Bùi Văn Đồng(8-23)'!H55</f>
        <v>0</v>
      </c>
      <c r="S16" s="311">
        <f t="shared" si="3"/>
        <v>0</v>
      </c>
      <c r="T16" s="208"/>
      <c r="U16" s="212"/>
      <c r="W16" s="196"/>
      <c r="X16" s="9"/>
      <c r="Y16" s="16"/>
      <c r="Z16" s="213" t="e">
        <f>#REF!</f>
        <v>#REF!</v>
      </c>
      <c r="AA16" s="209" t="s">
        <v>79</v>
      </c>
      <c r="AB16" s="211" t="e">
        <f>#REF!</f>
        <v>#REF!</v>
      </c>
    </row>
    <row r="17" spans="1:27" s="211" customFormat="1" ht="56.25" x14ac:dyDescent="0.25">
      <c r="A17" s="194">
        <f t="shared" si="4"/>
        <v>9</v>
      </c>
      <c r="B17" s="8" t="str">
        <f>+'Vũ Viết Chinh (5-79)'!F9</f>
        <v>Vũ Viết Chinh - Nguyễn Thị Phương</v>
      </c>
      <c r="C17" s="34" t="str">
        <f>+'Vũ Viết Chinh (5-79)'!C12</f>
        <v>001067020168</v>
      </c>
      <c r="D17" s="205" t="str">
        <f>+'Vũ Viết Chinh (5-79)'!C10</f>
        <v>Thôn Phố Gốt - Xã Phú Nghĩa - TP Hà Nội</v>
      </c>
      <c r="E17" s="34" t="str">
        <f>+'Vũ Viết Chinh (5-79)'!C24</f>
        <v>Quốc lộ 6 - Thôn Phố Gốt - Xã Phú Nghĩa - TP Hà Nội</v>
      </c>
      <c r="F17" s="188" t="str">
        <f>+'Vũ Viết Chinh (5-79)'!F19</f>
        <v>05</v>
      </c>
      <c r="G17" s="188">
        <f>+'Vũ Viết Chinh (5-79)'!C19</f>
        <v>79</v>
      </c>
      <c r="H17" s="190">
        <f>+'Vũ Viết Chinh (5-79)'!C20</f>
        <v>97.3</v>
      </c>
      <c r="I17" s="190">
        <f>+'Vũ Viết Chinh (5-79)'!C22</f>
        <v>59.1</v>
      </c>
      <c r="J17" s="190">
        <f t="shared" si="5"/>
        <v>38.199999999999996</v>
      </c>
      <c r="K17" s="190">
        <f t="shared" si="2"/>
        <v>59.1</v>
      </c>
      <c r="L17" s="190"/>
      <c r="M17" s="190">
        <f t="shared" si="1"/>
        <v>59.1</v>
      </c>
      <c r="N17" s="190" t="str">
        <f>+'Vũ Viết Chinh (5-79)'!H26</f>
        <v>01</v>
      </c>
      <c r="O17" s="188" t="str">
        <f>+'Vũ Viết Chinh (5-79)'!H27</f>
        <v>09</v>
      </c>
      <c r="P17" s="189">
        <f>+'Vũ Viết Chinh (5-79)'!H34</f>
        <v>0</v>
      </c>
      <c r="Q17" s="189">
        <f>+'Vũ Viết Chinh (5-79)'!H49</f>
        <v>0</v>
      </c>
      <c r="R17" s="189">
        <f>+'Vũ Viết Chinh (5-79)'!H57</f>
        <v>0</v>
      </c>
      <c r="S17" s="311">
        <f t="shared" si="3"/>
        <v>0</v>
      </c>
      <c r="T17" s="208"/>
      <c r="U17" s="212"/>
      <c r="W17" s="196"/>
      <c r="X17" s="9"/>
      <c r="Y17" s="16"/>
      <c r="Z17" s="213"/>
      <c r="AA17" s="209"/>
    </row>
    <row r="18" spans="1:27" s="211" customFormat="1" ht="83.25" customHeight="1" x14ac:dyDescent="0.25">
      <c r="A18" s="194">
        <f t="shared" si="4"/>
        <v>10</v>
      </c>
      <c r="B18" s="8" t="str">
        <f>+'Bùi Văn Hồng'!F9</f>
        <v>Bùi Văn Hồng</v>
      </c>
      <c r="C18" s="34" t="str">
        <f>+'Bùi Văn Hồng'!C12</f>
        <v>001060010502</v>
      </c>
      <c r="D18" s="205" t="str">
        <f>+'Bùi Văn Hồng'!C10</f>
        <v>Tổ dân phố Đình Tổ - xã Quốc Oai - TP Hà Nội</v>
      </c>
      <c r="E18" s="34" t="str">
        <f>+'Bùi Văn Hồng'!C24</f>
        <v>Thôn Phố Gốt - xã Phú Nghĩa - TP Hà Nội</v>
      </c>
      <c r="F18" s="188" t="str">
        <f>+'Bùi Văn Hồng'!F19</f>
        <v>05</v>
      </c>
      <c r="G18" s="188">
        <f>+'Bùi Văn Hồng'!C19</f>
        <v>76</v>
      </c>
      <c r="H18" s="190">
        <f>+'Bùi Văn Hồng'!C20</f>
        <v>82.4</v>
      </c>
      <c r="I18" s="190">
        <f>+'Bùi Văn Hồng'!C22</f>
        <v>53.1</v>
      </c>
      <c r="J18" s="190">
        <f t="shared" si="5"/>
        <v>29.300000000000004</v>
      </c>
      <c r="K18" s="190">
        <f t="shared" si="2"/>
        <v>53.1</v>
      </c>
      <c r="L18" s="190"/>
      <c r="M18" s="190">
        <f t="shared" si="1"/>
        <v>53.1</v>
      </c>
      <c r="N18" s="190">
        <f>+'Bùi Văn Hồng'!H26</f>
        <v>0</v>
      </c>
      <c r="O18" s="188">
        <f>+'Bùi Văn Hồng'!H27</f>
        <v>0</v>
      </c>
      <c r="P18" s="189">
        <f>+'Bùi Văn Hồng'!H34</f>
        <v>0</v>
      </c>
      <c r="Q18" s="189">
        <f>+'Bùi Văn Hồng'!H49</f>
        <v>0</v>
      </c>
      <c r="R18" s="189">
        <f>+'Bùi Văn Hồng'!H56</f>
        <v>0</v>
      </c>
      <c r="S18" s="311">
        <f t="shared" si="3"/>
        <v>0</v>
      </c>
      <c r="T18" s="208"/>
      <c r="U18" s="208"/>
      <c r="W18" s="196"/>
      <c r="X18" s="9"/>
      <c r="Y18" s="16"/>
      <c r="Z18" s="213"/>
      <c r="AA18" s="209"/>
    </row>
    <row r="19" spans="1:27" s="211" customFormat="1" ht="68.25" customHeight="1" x14ac:dyDescent="0.25">
      <c r="A19" s="194">
        <f t="shared" si="4"/>
        <v>11</v>
      </c>
      <c r="B19" s="8" t="str">
        <f>+'Nguyễn Thị Nguyên (5-45)'!F9</f>
        <v>Nguyễn Thị Nguyên</v>
      </c>
      <c r="C19" s="34" t="str">
        <f>+'Nguyễn Thị Nguyên (5-45)'!C12</f>
        <v>001165004448</v>
      </c>
      <c r="D19" s="205" t="str">
        <f>+'Nguyễn Thị Nguyên (5-45)'!C10</f>
        <v>Thôn Đông Cựu Đồi - xã Phú Nghĩa - TP Hà Nội</v>
      </c>
      <c r="E19" s="34" t="str">
        <f>+'Nguyễn Thị Nguyên (5-45)'!C24</f>
        <v>Thôn Phố Gốt - Xã Phú Nghĩa - TP Hà Nội</v>
      </c>
      <c r="F19" s="188" t="str">
        <f>+'Nguyễn Thị Nguyên (5-45)'!F19</f>
        <v>05</v>
      </c>
      <c r="G19" s="188">
        <f>+'Nguyễn Thị Nguyên (5-45)'!C19</f>
        <v>45</v>
      </c>
      <c r="H19" s="190">
        <f>+'Nguyễn Thị Nguyên (5-45)'!C20</f>
        <v>60.5</v>
      </c>
      <c r="I19" s="190">
        <f>+'Nguyễn Thị Nguyên (5-45)'!C22</f>
        <v>43</v>
      </c>
      <c r="J19" s="190">
        <f t="shared" si="5"/>
        <v>17.5</v>
      </c>
      <c r="K19" s="190">
        <f t="shared" si="2"/>
        <v>43</v>
      </c>
      <c r="L19" s="190"/>
      <c r="M19" s="190">
        <f t="shared" si="1"/>
        <v>43</v>
      </c>
      <c r="N19" s="190" t="str">
        <f>+'Nguyễn Thị Nguyên (5-45)'!H26</f>
        <v>01</v>
      </c>
      <c r="O19" s="189" t="str">
        <f>+'Nguyễn Thị Nguyên (5-45)'!H27</f>
        <v>07</v>
      </c>
      <c r="P19" s="189">
        <f>+'Nguyễn Thị Nguyên (5-45)'!H34</f>
        <v>0</v>
      </c>
      <c r="Q19" s="189">
        <f>+'Nguyễn Thị Nguyên (5-45)'!H49</f>
        <v>0</v>
      </c>
      <c r="R19" s="189">
        <f>+'Nguyễn Thị Nguyên (5-45)'!H56</f>
        <v>0</v>
      </c>
      <c r="S19" s="311">
        <f t="shared" si="3"/>
        <v>0</v>
      </c>
      <c r="T19" s="208"/>
      <c r="U19" s="208"/>
      <c r="W19" s="196"/>
      <c r="X19" s="9"/>
      <c r="Y19" s="16"/>
      <c r="Z19" s="213"/>
      <c r="AA19" s="209"/>
    </row>
    <row r="20" spans="1:27" s="211" customFormat="1" ht="68.25" customHeight="1" x14ac:dyDescent="0.25">
      <c r="A20" s="194">
        <f t="shared" si="4"/>
        <v>12</v>
      </c>
      <c r="B20" s="8" t="str">
        <f>+'Trịnh Quang Lê (5-56)'!F9</f>
        <v>Trịnh Quang Lê -  Đỗ Thị Nguyệt</v>
      </c>
      <c r="C20" s="34" t="str">
        <f>+'Trịnh Quang Lê (5-56)'!C12</f>
        <v>0380700144311 - 001175042864</v>
      </c>
      <c r="D20" s="205" t="str">
        <f>+'Trịnh Quang Lê (5-56)'!C10</f>
        <v>Thôn Phố Gốt - xã Phú Nghĩa - TP Hà Nội</v>
      </c>
      <c r="E20" s="34" t="str">
        <f>+'Trịnh Quang Lê (5-56)'!C24</f>
        <v>Thôn Phố Gốt - Xã Phú Nghĩa - TP Hà Nội</v>
      </c>
      <c r="F20" s="188" t="str">
        <f>+'Trịnh Quang Lê (5-56)'!F19</f>
        <v>05</v>
      </c>
      <c r="G20" s="188">
        <f>+'Trịnh Quang Lê (5-56)'!C19</f>
        <v>56</v>
      </c>
      <c r="H20" s="190">
        <f>+'Trịnh Quang Lê (5-56)'!C20</f>
        <v>50.1</v>
      </c>
      <c r="I20" s="190">
        <f>+'Trịnh Quang Lê (5-56)'!C22</f>
        <v>42.6</v>
      </c>
      <c r="J20" s="190">
        <f t="shared" si="5"/>
        <v>7.5</v>
      </c>
      <c r="K20" s="190">
        <f t="shared" si="2"/>
        <v>42.6</v>
      </c>
      <c r="L20" s="190"/>
      <c r="M20" s="190">
        <f t="shared" si="1"/>
        <v>42.6</v>
      </c>
      <c r="N20" s="190" t="str">
        <f>+'Trịnh Quang Lê (5-56)'!H27</f>
        <v>01</v>
      </c>
      <c r="O20" s="188" t="str">
        <f>+'Trịnh Quang Lê (5-56)'!H28</f>
        <v>04</v>
      </c>
      <c r="P20" s="189">
        <f>+'Trịnh Quang Lê (5-56)'!H35</f>
        <v>0</v>
      </c>
      <c r="Q20" s="214">
        <f>+'Trịnh Quang Lê (5-56)'!H50</f>
        <v>0</v>
      </c>
      <c r="R20" s="214">
        <f>+'Trịnh Quang Lê (5-56)'!H63</f>
        <v>0</v>
      </c>
      <c r="S20" s="311">
        <f t="shared" si="3"/>
        <v>0</v>
      </c>
      <c r="T20" s="215"/>
      <c r="U20" s="215"/>
      <c r="W20" s="196"/>
      <c r="X20" s="9"/>
      <c r="Y20" s="16"/>
      <c r="Z20" s="213"/>
      <c r="AA20" s="209"/>
    </row>
    <row r="21" spans="1:27" s="211" customFormat="1" ht="68.25" customHeight="1" x14ac:dyDescent="0.25">
      <c r="A21" s="194">
        <f t="shared" si="4"/>
        <v>13</v>
      </c>
      <c r="B21" s="8" t="str">
        <f>+'Nguyễn Đức Tú (6-62)'!F9</f>
        <v>Nguyễn Đức Tú</v>
      </c>
      <c r="C21" s="34" t="str">
        <f>+'Nguyễn Đức Tú (6-62)'!C12</f>
        <v>001095032801</v>
      </c>
      <c r="D21" s="205" t="str">
        <f>+'Nguyễn Đức Tú (6-62)'!C10</f>
        <v>Thôn Phố Gốt - xã Phú Nghĩa - TP Hà Nội</v>
      </c>
      <c r="E21" s="34" t="str">
        <f>+'Nguyễn Đức Tú (6-62)'!C24</f>
        <v>Thôn Phố Gốt - xã Phú Nghĩa - TP Hà Nội</v>
      </c>
      <c r="F21" s="188" t="str">
        <f>+'Nguyễn Đức Tú (6-62)'!F19</f>
        <v>06</v>
      </c>
      <c r="G21" s="188">
        <f>+'Nguyễn Đức Tú (6-62)'!C19</f>
        <v>62</v>
      </c>
      <c r="H21" s="190">
        <f>+'Nguyễn Đức Tú (6-62)'!C20</f>
        <v>111.5</v>
      </c>
      <c r="I21" s="190">
        <f>+'Nguyễn Đức Tú (6-62)'!C22</f>
        <v>37.6</v>
      </c>
      <c r="J21" s="190">
        <f t="shared" si="5"/>
        <v>73.900000000000006</v>
      </c>
      <c r="K21" s="190">
        <f t="shared" si="2"/>
        <v>37.6</v>
      </c>
      <c r="L21" s="190"/>
      <c r="M21" s="190">
        <f t="shared" si="1"/>
        <v>37.6</v>
      </c>
      <c r="N21" s="190" t="str">
        <f>+'Nguyễn Đức Tú (6-62)'!H26</f>
        <v>01</v>
      </c>
      <c r="O21" s="188" t="str">
        <f>+'Nguyễn Đức Tú (6-62)'!H27</f>
        <v>04</v>
      </c>
      <c r="P21" s="189">
        <f>+'Nguyễn Đức Tú (6-62)'!H34</f>
        <v>0</v>
      </c>
      <c r="Q21" s="214">
        <f>+'Nguyễn Đức Tú (6-62)'!H49</f>
        <v>0</v>
      </c>
      <c r="R21" s="214">
        <f>+'Nguyễn Đức Tú (6-62)'!H55</f>
        <v>0</v>
      </c>
      <c r="S21" s="311">
        <f t="shared" si="3"/>
        <v>0</v>
      </c>
      <c r="T21" s="215"/>
      <c r="U21" s="215"/>
      <c r="W21" s="196"/>
      <c r="X21" s="9"/>
      <c r="Y21" s="16"/>
      <c r="Z21" s="213"/>
      <c r="AA21" s="209"/>
    </row>
    <row r="22" spans="1:27" s="211" customFormat="1" ht="68.25" customHeight="1" x14ac:dyDescent="0.25">
      <c r="A22" s="194">
        <f t="shared" si="4"/>
        <v>14</v>
      </c>
      <c r="B22" s="8" t="str">
        <f>+'Lê Văn Tâm (6-64)'!F9</f>
        <v>Lê Văn Tâm - Bùi Thị Lan</v>
      </c>
      <c r="C22" s="34" t="str">
        <f>+'Lê Văn Tâm (6-64)'!C12</f>
        <v>001059033000</v>
      </c>
      <c r="D22" s="205" t="str">
        <f>+'Lê Văn Tâm (6-64)'!C10</f>
        <v>Thôn Phố Gốt - Xã Phú Nghĩa - TP Hà Nội</v>
      </c>
      <c r="E22" s="34" t="str">
        <f>+'Lê Văn Tâm (6-64)'!C24</f>
        <v>Vị trị 1 - Thôn Phố Gốt- xã Phú Nghĩa - TP Hà Nội</v>
      </c>
      <c r="F22" s="188" t="str">
        <f>+'Lê Văn Tâm (6-64)'!F19</f>
        <v>06</v>
      </c>
      <c r="G22" s="188">
        <f>+'Lê Văn Tâm (6-64)'!C19</f>
        <v>64</v>
      </c>
      <c r="H22" s="190">
        <f>+'Lê Văn Tâm (6-64)'!C20</f>
        <v>110.5</v>
      </c>
      <c r="I22" s="190">
        <f>+'Lê Văn Tâm (6-64)'!C22</f>
        <v>37.1</v>
      </c>
      <c r="J22" s="190">
        <f t="shared" si="5"/>
        <v>73.400000000000006</v>
      </c>
      <c r="K22" s="190">
        <f t="shared" si="2"/>
        <v>37.1</v>
      </c>
      <c r="L22" s="190"/>
      <c r="M22" s="190">
        <f t="shared" si="1"/>
        <v>37.1</v>
      </c>
      <c r="N22" s="190">
        <f>+'Lê Văn Tâm (6-64)'!H26</f>
        <v>0</v>
      </c>
      <c r="O22" s="189">
        <f>+'Lê Văn Tâm (6-64)'!H27</f>
        <v>0</v>
      </c>
      <c r="P22" s="189">
        <f>+'Lê Văn Tâm (6-64)'!H34</f>
        <v>0</v>
      </c>
      <c r="Q22" s="189">
        <f>+'Lê Văn Tâm (6-64)'!H49</f>
        <v>0</v>
      </c>
      <c r="R22" s="214">
        <f>+'Nguyễn Đức Tú (6-62)'!H55</f>
        <v>0</v>
      </c>
      <c r="S22" s="311">
        <f t="shared" si="3"/>
        <v>0</v>
      </c>
      <c r="T22" s="208"/>
      <c r="U22" s="215"/>
      <c r="W22" s="196"/>
      <c r="X22" s="9"/>
      <c r="Y22" s="16"/>
      <c r="Z22" s="213"/>
      <c r="AA22" s="209"/>
    </row>
    <row r="23" spans="1:27" s="211" customFormat="1" ht="68.25" customHeight="1" x14ac:dyDescent="0.25">
      <c r="A23" s="194">
        <f t="shared" si="4"/>
        <v>15</v>
      </c>
      <c r="B23" s="8" t="str">
        <f>+'Nguyễn Vũ Mạnh (6-4)'!F9</f>
        <v>Nguyễn Vũ Mạnh</v>
      </c>
      <c r="C23" s="34" t="str">
        <f>+'Nguyễn Vũ Mạnh (6-4)'!C12</f>
        <v>001065037043</v>
      </c>
      <c r="D23" s="205" t="str">
        <f>+'Nguyễn Vũ Mạnh (6-4)'!C10</f>
        <v>Thôn Thanh Trì - xã Phú Nghĩa - TP Hà Nội</v>
      </c>
      <c r="E23" s="34" t="str">
        <f>+'Nguyễn Vũ Mạnh (6-4)'!C24</f>
        <v>Quốc lộ 6 - Thôn Thanh Trì - xã Phú Nghĩa - TP Hà Nội</v>
      </c>
      <c r="F23" s="188" t="str">
        <f>+'Nguyễn Vũ Mạnh (6-4)'!F19</f>
        <v>06</v>
      </c>
      <c r="G23" s="188" t="str">
        <f>+'Nguyễn Vũ Mạnh (6-4)'!C19</f>
        <v>04</v>
      </c>
      <c r="H23" s="190">
        <f>+'Nguyễn Vũ Mạnh (6-4)'!C20</f>
        <v>660.5</v>
      </c>
      <c r="I23" s="190">
        <f>+'Nguyễn Vũ Mạnh (6-4)'!C22</f>
        <v>256.60000000000002</v>
      </c>
      <c r="J23" s="190">
        <f t="shared" si="5"/>
        <v>403.9</v>
      </c>
      <c r="K23" s="190">
        <f t="shared" si="2"/>
        <v>256.60000000000002</v>
      </c>
      <c r="L23" s="190"/>
      <c r="M23" s="190">
        <f t="shared" si="1"/>
        <v>256.60000000000002</v>
      </c>
      <c r="N23" s="190" t="str">
        <f>+'Nguyễn Vũ Mạnh (6-4)'!H26</f>
        <v>02</v>
      </c>
      <c r="O23" s="188" t="str">
        <f>+'Nguyễn Vũ Mạnh (6-4)'!H27</f>
        <v>07</v>
      </c>
      <c r="P23" s="189">
        <f>+'Nguyễn Vũ Mạnh (6-4)'!H34</f>
        <v>0</v>
      </c>
      <c r="Q23" s="189">
        <f>+'Nguyễn Vũ Mạnh (6-4)'!H49</f>
        <v>0</v>
      </c>
      <c r="R23" s="189">
        <f>+'Nguyễn Vũ Mạnh (6-4)'!H59</f>
        <v>0</v>
      </c>
      <c r="S23" s="311">
        <f t="shared" si="3"/>
        <v>0</v>
      </c>
      <c r="T23" s="208"/>
      <c r="U23" s="208"/>
      <c r="W23" s="196"/>
      <c r="X23" s="9"/>
      <c r="Y23" s="16"/>
      <c r="Z23" s="213"/>
      <c r="AA23" s="209"/>
    </row>
    <row r="24" spans="1:27" s="211" customFormat="1" ht="68.25" customHeight="1" x14ac:dyDescent="0.25">
      <c r="A24" s="194">
        <f t="shared" si="4"/>
        <v>16</v>
      </c>
      <c r="B24" s="8" t="str">
        <f>+'Nguyễn Bá Ước (6-3)'!F9</f>
        <v>Nguyễn Bá Ước - Nguyễn Thị Xuân</v>
      </c>
      <c r="C24" s="34" t="str">
        <f>+'Nguyễn Bá Ước (6-3)'!C12</f>
        <v>001065023600</v>
      </c>
      <c r="D24" s="205" t="str">
        <f>+'Nguyễn Bá Ước (6-3)'!C10</f>
        <v>Thôn Thanh Trì - xã Phú Nghĩa - TP Hà Nội</v>
      </c>
      <c r="E24" s="34" t="str">
        <f>+'Nguyễn Bá Ước (6-3)'!C24</f>
        <v>Thôn Thanh Trì - xã Phú Nghĩa - TP Hà Nội</v>
      </c>
      <c r="F24" s="188" t="str">
        <f>+'Nguyễn Bá Ước (6-3)'!F19</f>
        <v>03</v>
      </c>
      <c r="G24" s="188" t="str">
        <f>+'Nguyễn Bá Ước (6-3)'!C19</f>
        <v>06</v>
      </c>
      <c r="H24" s="190" t="str">
        <f>+'Nguyễn Bá Ước (6-3)'!C20</f>
        <v>1087,7</v>
      </c>
      <c r="I24" s="190">
        <f>+'Nguyễn Bá Ước (6-3)'!C22</f>
        <v>91</v>
      </c>
      <c r="J24" s="190">
        <f t="shared" si="5"/>
        <v>996.7</v>
      </c>
      <c r="K24" s="190">
        <f t="shared" si="2"/>
        <v>91</v>
      </c>
      <c r="L24" s="190"/>
      <c r="M24" s="190">
        <f t="shared" si="1"/>
        <v>91</v>
      </c>
      <c r="N24" s="190" t="str">
        <f>+'Nguyễn Bá Ước (6-3)'!H26</f>
        <v>01</v>
      </c>
      <c r="O24" s="188" t="str">
        <f>+'Nguyễn Bá Ước (6-3)'!H27</f>
        <v>06</v>
      </c>
      <c r="P24" s="189">
        <f>+'Nguyễn Bá Ước (6-3)'!H34</f>
        <v>0</v>
      </c>
      <c r="Q24" s="189">
        <f>+'Nguyễn Bá Ước (6-3)'!H49</f>
        <v>0</v>
      </c>
      <c r="R24" s="189">
        <f>+'Nguyễn Bá Ước (6-3)'!H55</f>
        <v>0</v>
      </c>
      <c r="S24" s="311">
        <f t="shared" si="3"/>
        <v>0</v>
      </c>
      <c r="T24" s="208"/>
      <c r="U24" s="208"/>
      <c r="W24" s="196"/>
      <c r="X24" s="9"/>
      <c r="Y24" s="16"/>
      <c r="Z24" s="213"/>
      <c r="AA24" s="209"/>
    </row>
    <row r="25" spans="1:27" s="211" customFormat="1" ht="68.25" customHeight="1" x14ac:dyDescent="0.25">
      <c r="A25" s="194">
        <f t="shared" si="4"/>
        <v>17</v>
      </c>
      <c r="B25" s="8" t="str">
        <f>+'Trần Trọng Hùng (6-55)'!F9</f>
        <v>Trần Trọng Hùng - Nguyễn Thị Minh</v>
      </c>
      <c r="C25" s="34" t="str">
        <f>+'Trần Trọng Hùng (6-55)'!C12</f>
        <v>001048000728 - 001153001127</v>
      </c>
      <c r="D25" s="205" t="str">
        <f>+'Trần Trọng Hùng (6-55)'!C10</f>
        <v>Thôn Phố Gốt - xã Phú Nghĩa - TP Hà Nội</v>
      </c>
      <c r="E25" s="34" t="str">
        <f>+'Trần Trọng Hùng (6-55)'!C24</f>
        <v>Thôn Phố Gốt - xã Phú Nghĩa - TP Hà Nội</v>
      </c>
      <c r="F25" s="188" t="str">
        <f>+'Trần Trọng Hùng (6-55)'!F19</f>
        <v>06</v>
      </c>
      <c r="G25" s="188">
        <f>+'Trần Trọng Hùng (6-55)'!C19</f>
        <v>55</v>
      </c>
      <c r="H25" s="190">
        <f>+'Trần Trọng Hùng (6-55)'!C20</f>
        <v>336.2</v>
      </c>
      <c r="I25" s="190">
        <f>+'Trần Trọng Hùng (6-55)'!C22</f>
        <v>68.3</v>
      </c>
      <c r="J25" s="190">
        <f t="shared" si="5"/>
        <v>267.89999999999998</v>
      </c>
      <c r="K25" s="190">
        <f t="shared" si="2"/>
        <v>68.3</v>
      </c>
      <c r="L25" s="190"/>
      <c r="M25" s="190">
        <f t="shared" si="1"/>
        <v>68.3</v>
      </c>
      <c r="N25" s="190" t="str">
        <f>+'Trần Trọng Hùng (6-55)'!H26</f>
        <v>01</v>
      </c>
      <c r="O25" s="188">
        <f>+'Trần Trọng Hùng (6-55)'!H27</f>
        <v>10</v>
      </c>
      <c r="P25" s="189">
        <f>+'Trần Trọng Hùng (6-55)'!H34</f>
        <v>0</v>
      </c>
      <c r="Q25" s="189">
        <f>+'Trần Trọng Hùng (6-55)'!H49</f>
        <v>0</v>
      </c>
      <c r="R25" s="189">
        <f>+'Trần Trọng Hùng (6-55)'!H57</f>
        <v>0</v>
      </c>
      <c r="S25" s="311">
        <f t="shared" si="3"/>
        <v>0</v>
      </c>
      <c r="T25" s="208"/>
      <c r="U25" s="208"/>
      <c r="W25" s="196"/>
      <c r="X25" s="9"/>
      <c r="Y25" s="16"/>
      <c r="Z25" s="213"/>
      <c r="AA25" s="209"/>
    </row>
    <row r="26" spans="1:27" s="211" customFormat="1" ht="68.25" customHeight="1" x14ac:dyDescent="0.25">
      <c r="A26" s="194">
        <f t="shared" si="4"/>
        <v>18</v>
      </c>
      <c r="B26" s="8" t="str">
        <f>+'Trịnh Văn Hưởng (6-63)'!F9</f>
        <v>Trịnh Văn Hưởng - Nguyễn Thị Lan</v>
      </c>
      <c r="C26" s="34" t="str">
        <f>+'Trịnh Văn Hưởng (6-63)'!C12</f>
        <v>00105514876</v>
      </c>
      <c r="D26" s="205" t="str">
        <f>+'Trịnh Văn Hưởng (6-63)'!C10</f>
        <v>Thôn Quyết Thượng - xã Phú Nghĩa - TP Hà Nội</v>
      </c>
      <c r="E26" s="34" t="str">
        <f>+'Trịnh Văn Hưởng (6-63)'!C24</f>
        <v>Quốc lộ 6 - Thôn Phố Gốt - xã Phú Nghĩa - TP Hà Nội</v>
      </c>
      <c r="F26" s="188" t="str">
        <f>+'Trịnh Văn Hưởng (6-63)'!F19</f>
        <v>06</v>
      </c>
      <c r="G26" s="188">
        <f>+'Trịnh Văn Hưởng (6-63)'!C19</f>
        <v>63</v>
      </c>
      <c r="H26" s="190">
        <f>+'Trịnh Văn Hưởng (6-63)'!C20</f>
        <v>115.7</v>
      </c>
      <c r="I26" s="190">
        <f>+'Trịnh Văn Hưởng (6-63)'!C22</f>
        <v>35.9</v>
      </c>
      <c r="J26" s="190">
        <f t="shared" si="5"/>
        <v>79.800000000000011</v>
      </c>
      <c r="K26" s="190">
        <f t="shared" si="2"/>
        <v>35.9</v>
      </c>
      <c r="L26" s="190"/>
      <c r="M26" s="190">
        <f t="shared" si="1"/>
        <v>35.9</v>
      </c>
      <c r="N26" s="190" t="str">
        <f>+'Trịnh Văn Hưởng (6-63)'!H26</f>
        <v>01</v>
      </c>
      <c r="O26" s="188" t="str">
        <f>+'Trịnh Văn Hưởng (6-63)'!H27</f>
        <v>06</v>
      </c>
      <c r="P26" s="189">
        <f>+'Trịnh Văn Hưởng (6-63)'!H34</f>
        <v>0</v>
      </c>
      <c r="Q26" s="189">
        <f>+'Trịnh Văn Hưởng (6-63)'!H49</f>
        <v>0</v>
      </c>
      <c r="R26" s="189">
        <f>+'Trịnh Văn Hưởng (6-63)'!H55</f>
        <v>0</v>
      </c>
      <c r="S26" s="311">
        <f t="shared" si="3"/>
        <v>0</v>
      </c>
      <c r="T26" s="208"/>
      <c r="U26" s="208"/>
      <c r="W26" s="196"/>
      <c r="X26" s="9"/>
      <c r="Y26" s="16"/>
      <c r="Z26" s="213"/>
      <c r="AA26" s="209"/>
    </row>
    <row r="27" spans="1:27" s="211" customFormat="1" ht="68.25" customHeight="1" x14ac:dyDescent="0.25">
      <c r="A27" s="194">
        <f t="shared" si="4"/>
        <v>19</v>
      </c>
      <c r="B27" s="8" t="str">
        <f>'Nguyễn Ngọc Dũng (5-81)'!F9</f>
        <v>Nguyễn Ngọc Dũng</v>
      </c>
      <c r="C27" s="34" t="str">
        <f>'Nguyễn Ngọc Dũng (5-81)'!C12</f>
        <v>001003024954</v>
      </c>
      <c r="D27" s="205" t="str">
        <f>'Nguyễn Ngọc Dũng (5-81)'!C10</f>
        <v>Thôn Phố Gốt - xã Phú Nghĩa - TP Hà Nội</v>
      </c>
      <c r="E27" s="34" t="str">
        <f>'Nguyễn Ngọc Dũng (5-81)'!C24</f>
        <v>Thôn Phố Gốt - Xã Phú Nghĩa - TP Hà Nội</v>
      </c>
      <c r="F27" s="188" t="str">
        <f>'Nguyễn Ngọc Dũng (5-81)'!F19</f>
        <v>05</v>
      </c>
      <c r="G27" s="188">
        <f>'Nguyễn Ngọc Dũng (5-81)'!C19</f>
        <v>81</v>
      </c>
      <c r="H27" s="190">
        <f>'Nguyễn Ngọc Dũng (5-81)'!C20</f>
        <v>129.1</v>
      </c>
      <c r="I27" s="190">
        <f>'Nguyễn Ngọc Dũng (5-81)'!C22</f>
        <v>47.8</v>
      </c>
      <c r="J27" s="190">
        <f t="shared" si="5"/>
        <v>81.3</v>
      </c>
      <c r="K27" s="190">
        <f t="shared" si="2"/>
        <v>47.8</v>
      </c>
      <c r="L27" s="190"/>
      <c r="M27" s="190">
        <f t="shared" si="1"/>
        <v>47.8</v>
      </c>
      <c r="N27" s="190">
        <f>'Nguyễn Ngọc Dũng (5-81)'!H26</f>
        <v>0</v>
      </c>
      <c r="O27" s="188">
        <f>'Nguyễn Ngọc Dũng (5-81)'!H27</f>
        <v>0</v>
      </c>
      <c r="P27" s="189">
        <f>'Nguyễn Ngọc Dũng (5-81)'!H34</f>
        <v>0</v>
      </c>
      <c r="Q27" s="189">
        <f>'Nguyễn Ngọc Dũng (5-81)'!H49</f>
        <v>0</v>
      </c>
      <c r="R27" s="189">
        <f>'Nguyễn Ngọc Dũng (5-81)'!H56</f>
        <v>0</v>
      </c>
      <c r="S27" s="311">
        <f>'Nguyễn Thị Phương Mai (5-80)'!H67</f>
        <v>0</v>
      </c>
      <c r="T27" s="212"/>
      <c r="U27" s="212"/>
      <c r="W27" s="196"/>
      <c r="X27" s="9"/>
      <c r="Y27" s="16"/>
      <c r="Z27" s="213"/>
      <c r="AA27" s="209"/>
    </row>
    <row r="28" spans="1:27" s="211" customFormat="1" ht="68.25" customHeight="1" x14ac:dyDescent="0.25">
      <c r="A28" s="194">
        <f t="shared" si="4"/>
        <v>20</v>
      </c>
      <c r="B28" s="8" t="str">
        <f>'Lưu Công Sơn (5-59)'!F9</f>
        <v>Lưu Công Sơn - Nguyễn Thị Khanh</v>
      </c>
      <c r="C28" s="34" t="str">
        <f>'Lưu Công Sơn (5-59)'!C12</f>
        <v>001142006315</v>
      </c>
      <c r="D28" s="205" t="str">
        <f>'Lưu Công Sơn (5-59)'!C10</f>
        <v>Thôn Xóm Đông - xã Phú Nghĩa- TP Hà Nội</v>
      </c>
      <c r="E28" s="34" t="str">
        <f>'Lưu Công Sơn (5-59)'!C24</f>
        <v>Quốc lộ 6 - Thôn Phố Gốt - Xã Phú Nghĩa - TP Hà Nội</v>
      </c>
      <c r="F28" s="188" t="str">
        <f>'Lưu Công Sơn (5-59)'!F19</f>
        <v>05</v>
      </c>
      <c r="G28" s="188">
        <f>'Lưu Công Sơn (5-59)'!C19</f>
        <v>59</v>
      </c>
      <c r="H28" s="190">
        <f>'Lưu Công Sơn (5-59)'!C20</f>
        <v>161.19999999999999</v>
      </c>
      <c r="I28" s="190">
        <f>'Lưu Công Sơn (5-59)'!C22</f>
        <v>72.2</v>
      </c>
      <c r="J28" s="190">
        <f t="shared" si="5"/>
        <v>88.999999999999986</v>
      </c>
      <c r="K28" s="190">
        <f t="shared" si="2"/>
        <v>72.2</v>
      </c>
      <c r="L28" s="190"/>
      <c r="M28" s="190">
        <f t="shared" si="1"/>
        <v>72.2</v>
      </c>
      <c r="N28" s="190" t="str">
        <f>'Lưu Công Sơn (5-59)'!H26</f>
        <v>02</v>
      </c>
      <c r="O28" s="188" t="str">
        <f>'Lưu Công Sơn (5-59)'!H27</f>
        <v>05</v>
      </c>
      <c r="P28" s="189">
        <f>'Lưu Công Sơn (5-59)'!H34</f>
        <v>0</v>
      </c>
      <c r="Q28" s="189">
        <f>'Lưu Công Sơn (5-59)'!H49</f>
        <v>0</v>
      </c>
      <c r="R28" s="189">
        <f>'Lưu Công Sơn (5-59)'!H65</f>
        <v>0</v>
      </c>
      <c r="S28" s="311">
        <f t="shared" si="3"/>
        <v>0</v>
      </c>
      <c r="T28" s="208"/>
      <c r="U28" s="208"/>
      <c r="W28" s="196"/>
      <c r="X28" s="9"/>
      <c r="Y28" s="16"/>
      <c r="Z28" s="213"/>
      <c r="AA28" s="209"/>
    </row>
    <row r="29" spans="1:27" s="273" customFormat="1" ht="68.25" customHeight="1" x14ac:dyDescent="0.25">
      <c r="A29" s="194">
        <f t="shared" si="4"/>
        <v>21</v>
      </c>
      <c r="B29" s="31" t="str">
        <f>'Lê Tiến Nguyễn(8-27)'!F9</f>
        <v>Lê Tiến Nguyên - Dương Thị Bích Thuỷ</v>
      </c>
      <c r="C29" s="35"/>
      <c r="D29" s="216" t="str">
        <f>'Lê Tiến Nguyễn(8-27)'!C10</f>
        <v>Số 49 ngõ 15 An Dương Vương - phường Tây Hồ - TP Hà Nội</v>
      </c>
      <c r="E29" s="35" t="str">
        <f>'Lê Tiến Nguyễn(8-27)'!C24</f>
        <v>Quốc lộ 6 - Thôn Yên Kiện Đồi- Xã Phú Nghĩa - TP Hà Nội</v>
      </c>
      <c r="F29" s="270" t="str">
        <f>'Lê Tiến Nguyễn(8-27)'!F19</f>
        <v>08</v>
      </c>
      <c r="G29" s="270">
        <f>'Lê Tiến Nguyễn(8-27)'!C19</f>
        <v>27</v>
      </c>
      <c r="H29" s="271">
        <f>'Lê Tiến Nguyễn(8-27)'!C20</f>
        <v>107.5</v>
      </c>
      <c r="I29" s="271">
        <f>'Lê Tiến Nguyễn(8-27)'!C22</f>
        <v>23.6</v>
      </c>
      <c r="J29" s="190">
        <f t="shared" si="5"/>
        <v>83.9</v>
      </c>
      <c r="K29" s="190">
        <f t="shared" si="2"/>
        <v>23.6</v>
      </c>
      <c r="L29" s="271"/>
      <c r="M29" s="190">
        <f t="shared" si="1"/>
        <v>23.6</v>
      </c>
      <c r="N29" s="271">
        <f>'Lê Tiến Nguyễn(8-27)'!H26</f>
        <v>0</v>
      </c>
      <c r="O29" s="270">
        <f>'Lê Tiến Nguyễn(8-27)'!H27</f>
        <v>0</v>
      </c>
      <c r="P29" s="189">
        <f>'Lê Tiến Nguyễn(8-27)'!H34</f>
        <v>0</v>
      </c>
      <c r="Q29" s="189">
        <f>'Lê Tiến Nguyễn(8-27)'!H49</f>
        <v>0</v>
      </c>
      <c r="R29" s="189">
        <f>'Lê Tiến Nguyễn(8-27)'!H56</f>
        <v>0</v>
      </c>
      <c r="S29" s="314">
        <f>'Lê Tiến Nguyễn(8-27)'!H63</f>
        <v>0</v>
      </c>
      <c r="T29" s="272"/>
      <c r="U29" s="272"/>
      <c r="W29" s="274"/>
      <c r="X29" s="275"/>
      <c r="Y29" s="276"/>
      <c r="Z29" s="277"/>
      <c r="AA29" s="278"/>
    </row>
    <row r="30" spans="1:27" s="273" customFormat="1" ht="68.25" customHeight="1" x14ac:dyDescent="0.25">
      <c r="A30" s="194">
        <f t="shared" si="4"/>
        <v>22</v>
      </c>
      <c r="B30" s="31" t="str">
        <f>'Nguyễn Thị Phương Mai (5-80)'!F9</f>
        <v>Nguyễn Thị Phương Mai</v>
      </c>
      <c r="C30" s="35" t="str">
        <f>'Nguyễn Thị Phương Mai (5-80)'!C12</f>
        <v>00158025860</v>
      </c>
      <c r="D30" s="216" t="str">
        <f>'Nguyễn Thị Phương Mai (5-80)'!C10</f>
        <v>Thôn Phố Gốt - Xã Phú Nghĩa - TP Hà Nội</v>
      </c>
      <c r="E30" s="35" t="str">
        <f>'Nguyễn Thị Phương Mai (5-80)'!C24</f>
        <v>Quốc lộ 6 - Thôn Phố Gốt - Xã Phú Nghĩa - TP Hà Nội</v>
      </c>
      <c r="F30" s="270" t="str">
        <f>'Nguyễn Thị Phương Mai (5-80)'!F19</f>
        <v>05</v>
      </c>
      <c r="G30" s="270">
        <f>'Nguyễn Thị Phương Mai (5-80)'!C19</f>
        <v>80</v>
      </c>
      <c r="H30" s="271">
        <f>'Nguyễn Thị Phương Mai (5-80)'!C20</f>
        <v>91.2</v>
      </c>
      <c r="I30" s="271">
        <f>'Nguyễn Thị Phương Mai (5-80)'!C22</f>
        <v>45.8</v>
      </c>
      <c r="J30" s="190">
        <f t="shared" si="5"/>
        <v>45.400000000000006</v>
      </c>
      <c r="K30" s="190">
        <f t="shared" si="2"/>
        <v>45.8</v>
      </c>
      <c r="L30" s="271"/>
      <c r="M30" s="190">
        <f t="shared" si="1"/>
        <v>45.8</v>
      </c>
      <c r="N30" s="271" t="str">
        <f>'Nguyễn Thị Phương Mai (5-80)'!H26</f>
        <v>01</v>
      </c>
      <c r="O30" s="270" t="str">
        <f>'Nguyễn Thị Phương Mai (5-80)'!H27</f>
        <v>06</v>
      </c>
      <c r="P30" s="189">
        <f>'Nguyễn Thị Phương Mai (5-80)'!H34</f>
        <v>0</v>
      </c>
      <c r="Q30" s="189">
        <f>'Nguyễn Thị Phương Mai (5-80)'!H49</f>
        <v>0</v>
      </c>
      <c r="R30" s="189">
        <f>'Nguyễn Thị Phương Mai (5-80)'!H60</f>
        <v>0</v>
      </c>
      <c r="S30" s="314"/>
      <c r="T30" s="272"/>
      <c r="U30" s="272"/>
      <c r="W30" s="274"/>
      <c r="X30" s="275"/>
      <c r="Y30" s="276"/>
      <c r="Z30" s="277"/>
      <c r="AA30" s="278"/>
    </row>
    <row r="31" spans="1:27" s="273" customFormat="1" ht="68.25" customHeight="1" x14ac:dyDescent="0.25">
      <c r="A31" s="194">
        <f t="shared" si="4"/>
        <v>23</v>
      </c>
      <c r="B31" s="31" t="str">
        <f>'Trần Thi Út(5-82)'!F9</f>
        <v>Trần Thị Út - Nguyễn Chí Lại</v>
      </c>
      <c r="C31" s="35" t="str">
        <f>'Trần Thi Út(5-82)'!C12</f>
        <v>001156010048</v>
      </c>
      <c r="D31" s="216" t="str">
        <f>'Trần Thi Út(5-82)'!C10</f>
        <v>Thôn Phố Gốt - Xã Phú Nghĩa - TP Hà Nội</v>
      </c>
      <c r="E31" s="35" t="str">
        <f>'Trần Thi Út(5-82)'!C24</f>
        <v>Thôn Phố Gốt - Xã Phú Nghĩa - TP Hà Nội</v>
      </c>
      <c r="F31" s="270" t="str">
        <f>'Trần Thi Út(5-82)'!F19</f>
        <v>05</v>
      </c>
      <c r="G31" s="270">
        <f>'Trần Thi Út(5-82)'!C19</f>
        <v>82</v>
      </c>
      <c r="H31" s="271">
        <f>'Trần Thi Út(5-82)'!C20</f>
        <v>157.6</v>
      </c>
      <c r="I31" s="271">
        <f>'Trần Thi Út(5-82)'!C22</f>
        <v>49.1</v>
      </c>
      <c r="J31" s="190">
        <f t="shared" si="5"/>
        <v>108.5</v>
      </c>
      <c r="K31" s="190">
        <f t="shared" si="2"/>
        <v>49.1</v>
      </c>
      <c r="L31" s="271"/>
      <c r="M31" s="190">
        <f t="shared" si="1"/>
        <v>49.1</v>
      </c>
      <c r="N31" s="271" t="str">
        <f>'Trần Thi Út(5-82)'!H26</f>
        <v>01</v>
      </c>
      <c r="O31" s="270" t="str">
        <f>'Trần Thi Út(5-82)'!H27</f>
        <v>05</v>
      </c>
      <c r="P31" s="189">
        <f>'Trần Thi Út(5-82)'!H34</f>
        <v>0</v>
      </c>
      <c r="Q31" s="189">
        <f>'Trần Thi Út(5-82)'!H49</f>
        <v>0</v>
      </c>
      <c r="R31" s="189">
        <f>'Trần Thi Út(5-82)'!H65</f>
        <v>0</v>
      </c>
      <c r="S31" s="314">
        <f>'Trần Thi Út(5-82)'!H72</f>
        <v>0</v>
      </c>
      <c r="T31" s="272"/>
      <c r="U31" s="272"/>
      <c r="W31" s="274"/>
      <c r="X31" s="275"/>
      <c r="Y31" s="276"/>
      <c r="Z31" s="277"/>
      <c r="AA31" s="278"/>
    </row>
    <row r="32" spans="1:27" s="273" customFormat="1" ht="68.25" customHeight="1" x14ac:dyDescent="0.25">
      <c r="A32" s="194">
        <f t="shared" si="4"/>
        <v>24</v>
      </c>
      <c r="B32" s="31" t="str">
        <f>'Ng Đình Khánh'!F9</f>
        <v>Nguyễn Đình Khánh</v>
      </c>
      <c r="C32" s="35" t="str">
        <f>'Ng Đình Khánh'!C12</f>
        <v>001095029142</v>
      </c>
      <c r="D32" s="216" t="str">
        <f>'Ng Đình Khánh'!C10</f>
        <v>Thôn Trung Cao - Xã Phú Nghĩa - TP Hà Nội</v>
      </c>
      <c r="E32" s="35" t="str">
        <f>'Ng Đình Khánh'!C24</f>
        <v>Thôn Phố Gốt - Xã Phú Nghĩa - TP Hà Nội</v>
      </c>
      <c r="F32" s="270" t="str">
        <f>'Ng Đình Khánh'!F19</f>
        <v>04</v>
      </c>
      <c r="G32" s="270">
        <f>'Ng Đình Khánh'!C19</f>
        <v>13</v>
      </c>
      <c r="H32" s="271">
        <f>'Ng Đình Khánh'!C20</f>
        <v>131.4</v>
      </c>
      <c r="I32" s="271">
        <f>'Ng Đình Khánh'!C22</f>
        <v>38.4</v>
      </c>
      <c r="J32" s="190">
        <f t="shared" si="5"/>
        <v>93</v>
      </c>
      <c r="K32" s="190">
        <f t="shared" si="2"/>
        <v>38.4</v>
      </c>
      <c r="L32" s="271"/>
      <c r="M32" s="190">
        <f t="shared" si="1"/>
        <v>38.4</v>
      </c>
      <c r="N32" s="271">
        <f>'Ng Đình Khánh'!H26</f>
        <v>0</v>
      </c>
      <c r="O32" s="270">
        <f>'Ng Đình Khánh'!H27</f>
        <v>0</v>
      </c>
      <c r="P32" s="189">
        <f>'Ng Đình Khánh'!H34</f>
        <v>0</v>
      </c>
      <c r="Q32" s="189">
        <f>'Ng Đình Khánh'!H49</f>
        <v>0</v>
      </c>
      <c r="R32" s="189">
        <f>'Ng Đình Khánh'!H59</f>
        <v>0</v>
      </c>
      <c r="S32" s="314">
        <f>'Ng Đình Khánh'!H66</f>
        <v>0</v>
      </c>
      <c r="T32" s="272"/>
      <c r="U32" s="272"/>
      <c r="W32" s="274"/>
      <c r="X32" s="275"/>
      <c r="Y32" s="276"/>
      <c r="Z32" s="277"/>
      <c r="AA32" s="278"/>
    </row>
    <row r="33" spans="1:27" s="273" customFormat="1" ht="68.25" customHeight="1" x14ac:dyDescent="0.25">
      <c r="A33" s="194">
        <f t="shared" si="4"/>
        <v>25</v>
      </c>
      <c r="B33" s="31" t="str">
        <f>'Ng Thị Mến'!F9</f>
        <v>Nguyễn Thị Mến</v>
      </c>
      <c r="C33" s="35" t="str">
        <f>'Ng Thị Mến'!C12</f>
        <v>0011155017845</v>
      </c>
      <c r="D33" s="216" t="str">
        <f>'Ng Thị Mến'!C10</f>
        <v>Thôn Phố Gốt - Xã Phú Nghĩa - TP Hà Nội</v>
      </c>
      <c r="E33" s="35" t="str">
        <f>'Ng Thị Mến'!C24</f>
        <v>Thôn Phố Gốt - Xã Phú Nghĩa - TP Hà Nội</v>
      </c>
      <c r="F33" s="270" t="str">
        <f>'Ng Thị Mến'!F19</f>
        <v>05</v>
      </c>
      <c r="G33" s="270">
        <f>'Ng Thị Mến'!C19</f>
        <v>77</v>
      </c>
      <c r="H33" s="271">
        <f>'Ng Thị Mến'!C20</f>
        <v>361.4</v>
      </c>
      <c r="I33" s="271">
        <f>'Ng Thị Mến'!C22</f>
        <v>62.2</v>
      </c>
      <c r="J33" s="190">
        <f t="shared" si="5"/>
        <v>299.2</v>
      </c>
      <c r="K33" s="190">
        <f t="shared" si="2"/>
        <v>62.2</v>
      </c>
      <c r="L33" s="271"/>
      <c r="M33" s="190">
        <f t="shared" si="1"/>
        <v>62.2</v>
      </c>
      <c r="N33" s="271" t="str">
        <f>'Ng Thị Mến'!H26</f>
        <v>01</v>
      </c>
      <c r="O33" s="270" t="str">
        <f>'Ng Thị Mến'!H27</f>
        <v>06</v>
      </c>
      <c r="P33" s="189">
        <f>'Ng Thị Mến'!H34</f>
        <v>0</v>
      </c>
      <c r="Q33" s="189">
        <f>'Ng Thị Mến'!H49</f>
        <v>0</v>
      </c>
      <c r="R33" s="189">
        <f>'Ng Thị Mến'!H56</f>
        <v>0</v>
      </c>
      <c r="S33" s="314">
        <f>'Ng Thị Mến'!H63</f>
        <v>0</v>
      </c>
      <c r="T33" s="272"/>
      <c r="U33" s="272"/>
      <c r="W33" s="274"/>
      <c r="X33" s="275"/>
      <c r="Y33" s="276"/>
      <c r="Z33" s="277"/>
      <c r="AA33" s="278"/>
    </row>
    <row r="34" spans="1:27" s="273" customFormat="1" ht="68.25" customHeight="1" x14ac:dyDescent="0.25">
      <c r="A34" s="194">
        <f t="shared" si="4"/>
        <v>26</v>
      </c>
      <c r="B34" s="31" t="str">
        <f>'Ng Đắc Vũ(4-24)'!F9</f>
        <v>Nguyễn Đắc Vũ (Đỗ Thị Lan)</v>
      </c>
      <c r="C34" s="35" t="str">
        <f>'Ng Đắc Vũ(4-24)'!C12</f>
        <v>001089015139</v>
      </c>
      <c r="D34" s="216" t="str">
        <f>'Ng Đắc Vũ(4-24)'!C10</f>
        <v>Thôn Đồi 1- Xã Phú Nghĩa - TP Hà Nội</v>
      </c>
      <c r="E34" s="35" t="str">
        <f>'Ng Đắc Vũ(4-24)'!C24</f>
        <v>Thôn Phố Gốt - Xã Phú Nghĩa - TP Hà Nội</v>
      </c>
      <c r="F34" s="270" t="str">
        <f>'Ng Đắc Vũ(4-24)'!F19</f>
        <v>04</v>
      </c>
      <c r="G34" s="270">
        <f>'Ng Đắc Vũ(4-24)'!C19</f>
        <v>24</v>
      </c>
      <c r="H34" s="271">
        <f>'Ng Đắc Vũ(4-24)'!C20</f>
        <v>130</v>
      </c>
      <c r="I34" s="271">
        <f>'Ng Đắc Vũ(4-24)'!C22</f>
        <v>38.299999999999997</v>
      </c>
      <c r="J34" s="190">
        <f t="shared" si="5"/>
        <v>91.7</v>
      </c>
      <c r="K34" s="190">
        <f t="shared" si="2"/>
        <v>38.299999999999997</v>
      </c>
      <c r="L34" s="271"/>
      <c r="M34" s="190">
        <f t="shared" si="1"/>
        <v>38.299999999999997</v>
      </c>
      <c r="N34" s="271">
        <f>'Ng Đắc Vũ(4-24)'!H26</f>
        <v>0</v>
      </c>
      <c r="O34" s="270">
        <f>'Ng Đắc Vũ(4-24)'!H27</f>
        <v>0</v>
      </c>
      <c r="P34" s="189">
        <f>'Ng Đắc Vũ(4-24)'!H34</f>
        <v>0</v>
      </c>
      <c r="Q34" s="189">
        <f>'Ng Đắc Vũ(4-24)'!H49</f>
        <v>0</v>
      </c>
      <c r="R34" s="189">
        <f>'Ng Đắc Vũ(4-24)'!H53</f>
        <v>0</v>
      </c>
      <c r="S34" s="314">
        <f>'Ng Đắc Vũ(4-24)'!H60</f>
        <v>0</v>
      </c>
      <c r="T34" s="272"/>
      <c r="U34" s="272"/>
      <c r="W34" s="274"/>
      <c r="X34" s="275"/>
      <c r="Y34" s="276"/>
      <c r="Z34" s="277"/>
      <c r="AA34" s="278"/>
    </row>
    <row r="35" spans="1:27" s="273" customFormat="1" ht="68.25" customHeight="1" x14ac:dyDescent="0.25">
      <c r="A35" s="194">
        <f t="shared" si="4"/>
        <v>27</v>
      </c>
      <c r="B35" s="31" t="str">
        <f>'Ng Ngọc Dũng(06-53)'!F9</f>
        <v>Nguyễn Ngọc Dũng - Nguyễn Thị Lan</v>
      </c>
      <c r="C35" s="35" t="str">
        <f>'Ng Ngọc Dũng(06-53)'!C12</f>
        <v>001063024954</v>
      </c>
      <c r="D35" s="216" t="str">
        <f>'Ng Ngọc Dũng(06-53)'!C10</f>
        <v>Thôn Phố Gốt - Xã Phú Nghĩa - TP Hà Nội</v>
      </c>
      <c r="E35" s="35" t="str">
        <f>'Ng Ngọc Dũng(06-53)'!C24</f>
        <v>Thôn Phố Gốt - Xã Phú Nghĩa - TP Hà Nội</v>
      </c>
      <c r="F35" s="270" t="str">
        <f>'Ng Ngọc Dũng(06-53)'!F19</f>
        <v>06</v>
      </c>
      <c r="G35" s="270">
        <f>'Ng Ngọc Dũng(06-53)'!C19</f>
        <v>53</v>
      </c>
      <c r="H35" s="271">
        <f>'Ng Ngọc Dũng(06-53)'!C20</f>
        <v>117.3</v>
      </c>
      <c r="I35" s="271">
        <f>'Ng Ngọc Dũng(06-53)'!C22</f>
        <v>34.700000000000003</v>
      </c>
      <c r="J35" s="190">
        <f t="shared" si="5"/>
        <v>82.6</v>
      </c>
      <c r="K35" s="190">
        <f t="shared" si="2"/>
        <v>34.700000000000003</v>
      </c>
      <c r="L35" s="271"/>
      <c r="M35" s="190">
        <f t="shared" si="1"/>
        <v>34.700000000000003</v>
      </c>
      <c r="N35" s="271">
        <f>'Ng Ngọc Dũng(06-53)'!H26</f>
        <v>0</v>
      </c>
      <c r="O35" s="270">
        <f>'Ng Ngọc Dũng(06-53)'!H27</f>
        <v>0</v>
      </c>
      <c r="P35" s="189">
        <f>'Ng Ngọc Dũng(06-53)'!H34</f>
        <v>0</v>
      </c>
      <c r="Q35" s="189">
        <f>'Ng Ngọc Dũng(06-53)'!H49</f>
        <v>0</v>
      </c>
      <c r="R35" s="189">
        <f>'Ng Ngọc Dũng(06-53)'!H57</f>
        <v>0</v>
      </c>
      <c r="S35" s="314">
        <f>'Ng Ngọc Dũng(06-53)'!H64</f>
        <v>0</v>
      </c>
      <c r="T35" s="272"/>
      <c r="U35" s="272"/>
      <c r="W35" s="274"/>
      <c r="X35" s="275"/>
      <c r="Y35" s="276"/>
      <c r="Z35" s="277"/>
      <c r="AA35" s="278"/>
    </row>
    <row r="36" spans="1:27" s="273" customFormat="1" ht="105" customHeight="1" x14ac:dyDescent="0.25">
      <c r="A36" s="194">
        <f t="shared" si="4"/>
        <v>28</v>
      </c>
      <c r="B36" s="31" t="str">
        <f>'Đỗ Huy Thành(4-8)'!F9</f>
        <v>ĐSH: Đỗ Thị Ninh - Đỗ Huy Bình - Đô Huy Biên (Đại diện cho Ông Đỗ Huy Thành đã chết)</v>
      </c>
      <c r="C36" s="35" t="str">
        <f>'Đỗ Huy Thành(4-8)'!C12</f>
        <v>00118502051(Ninh); 001089034143 (Bình); 001094024392 (Biên)</v>
      </c>
      <c r="D36" s="216" t="str">
        <f>'Đỗ Huy Thành(4-8)'!C10</f>
        <v>Thôn Đông Cựu Đồi - Xã Phú Nghĩa - TP Hà Nội</v>
      </c>
      <c r="E36" s="35" t="str">
        <f>'Đỗ Huy Thành(4-8)'!C24</f>
        <v>Thôn Đông - Xã Phú Nghĩa - TP Hà Nội</v>
      </c>
      <c r="F36" s="270" t="str">
        <f>'Đỗ Huy Thành(4-8)'!F19</f>
        <v>04</v>
      </c>
      <c r="G36" s="270" t="str">
        <f>'Đỗ Huy Thành(4-8)'!C19</f>
        <v>08</v>
      </c>
      <c r="H36" s="271">
        <f>'Đỗ Huy Thành(4-8)'!C20</f>
        <v>557.4</v>
      </c>
      <c r="I36" s="271">
        <f>'Đỗ Huy Thành(4-8)'!C22</f>
        <v>201</v>
      </c>
      <c r="J36" s="190">
        <f t="shared" si="5"/>
        <v>356.4</v>
      </c>
      <c r="K36" s="190">
        <f t="shared" si="2"/>
        <v>201</v>
      </c>
      <c r="L36" s="271"/>
      <c r="M36" s="190">
        <f t="shared" si="1"/>
        <v>201</v>
      </c>
      <c r="N36" s="271" t="str">
        <f>'Đỗ Huy Thành(4-8)'!H26</f>
        <v>01</v>
      </c>
      <c r="O36" s="270" t="str">
        <f>'Đỗ Huy Thành(4-8)'!H27</f>
        <v>02</v>
      </c>
      <c r="P36" s="189">
        <f>'Đỗ Huy Thành(4-8)'!H34</f>
        <v>0</v>
      </c>
      <c r="Q36" s="189">
        <f>'Đỗ Huy Thành(4-8)'!H49</f>
        <v>0</v>
      </c>
      <c r="R36" s="189">
        <f>'Đỗ Huy Thành(4-8)'!H58</f>
        <v>0</v>
      </c>
      <c r="S36" s="314">
        <f>'Đỗ Huy Thành(4-8)'!H65</f>
        <v>0</v>
      </c>
      <c r="T36" s="272"/>
      <c r="U36" s="272"/>
      <c r="W36" s="274"/>
      <c r="X36" s="275"/>
      <c r="Y36" s="276"/>
      <c r="Z36" s="277"/>
      <c r="AA36" s="278"/>
    </row>
    <row r="37" spans="1:27" s="273" customFormat="1" ht="68.25" customHeight="1" x14ac:dyDescent="0.25">
      <c r="A37" s="194">
        <f t="shared" si="4"/>
        <v>29</v>
      </c>
      <c r="B37" s="31" t="str">
        <f>'Ng Văn Đẩu(7-25)'!F9</f>
        <v>Nguyễn Văn Đẩu - Hồ Thị Bích</v>
      </c>
      <c r="C37" s="35" t="str">
        <f>'Ng Văn Đẩu(7-25)'!C12</f>
        <v>001075024386</v>
      </c>
      <c r="D37" s="216" t="str">
        <f>'Ng Văn Đẩu(7-25)'!C10</f>
        <v>Thôn Yên Kiện Đồi - Xã Phú Nghĩa - TP Hà Nội</v>
      </c>
      <c r="E37" s="35" t="str">
        <f>'Ng Văn Đẩu(7-25)'!C24</f>
        <v>Quốc lộ 6 - Thôn Yên Kiện Đồi - Xã Phú Nghĩa - TP Hà Nội</v>
      </c>
      <c r="F37" s="270" t="str">
        <f>'Ng Văn Đẩu(7-25)'!F19</f>
        <v>07</v>
      </c>
      <c r="G37" s="270">
        <f>'Ng Văn Đẩu(7-25)'!C19</f>
        <v>25</v>
      </c>
      <c r="H37" s="271">
        <f>'Ng Văn Đẩu(7-25)'!C20</f>
        <v>240.5</v>
      </c>
      <c r="I37" s="271">
        <f>'Ng Văn Đẩu(7-25)'!C22</f>
        <v>103.2</v>
      </c>
      <c r="J37" s="190">
        <f t="shared" si="5"/>
        <v>137.30000000000001</v>
      </c>
      <c r="K37" s="190">
        <f t="shared" si="2"/>
        <v>103.2</v>
      </c>
      <c r="L37" s="271"/>
      <c r="M37" s="190">
        <f t="shared" si="1"/>
        <v>103.2</v>
      </c>
      <c r="N37" s="271" t="str">
        <f>'Ng Văn Đẩu(7-25)'!H26</f>
        <v>01</v>
      </c>
      <c r="O37" s="270" t="str">
        <f>'Ng Văn Đẩu(7-25)'!H27</f>
        <v>05</v>
      </c>
      <c r="P37" s="189">
        <f>'Ng Văn Đẩu(7-25)'!H34</f>
        <v>0</v>
      </c>
      <c r="Q37" s="189">
        <f>'Ng Văn Đẩu(7-25)'!H49</f>
        <v>0</v>
      </c>
      <c r="R37" s="189">
        <f>'Ng Văn Đẩu(7-25)'!H61</f>
        <v>0</v>
      </c>
      <c r="S37" s="314">
        <f>'Ng Văn Đẩu(7-25)'!H68</f>
        <v>0</v>
      </c>
      <c r="T37" s="272"/>
      <c r="U37" s="272"/>
      <c r="W37" s="274"/>
      <c r="X37" s="275"/>
      <c r="Y37" s="276"/>
      <c r="Z37" s="277"/>
      <c r="AA37" s="278"/>
    </row>
    <row r="38" spans="1:27" s="273" customFormat="1" ht="68.25" customHeight="1" x14ac:dyDescent="0.25">
      <c r="A38" s="194">
        <f t="shared" si="4"/>
        <v>30</v>
      </c>
      <c r="B38" s="31" t="str">
        <f>'Ng Văn Sang(7-26)'!F9</f>
        <v>Nguyễn Văn Sang - Cấn Thị Hồng</v>
      </c>
      <c r="C38" s="35" t="str">
        <f>'Ng Văn Sang(7-26)'!C12</f>
        <v>001080023112</v>
      </c>
      <c r="D38" s="216" t="str">
        <f>'Ng Văn Sang(7-26)'!C10</f>
        <v>Thôn Yên Kiện Đồi - Xã Phú Nghĩa - TP Hà Nội</v>
      </c>
      <c r="E38" s="35" t="str">
        <f>'Ng Văn Sang(7-26)'!C24</f>
        <v>Quốc lộ 6 - Thôn Yên Kiện Đồi - Xã Phú Nghĩa - TP Hà Nội</v>
      </c>
      <c r="F38" s="270" t="str">
        <f>'Ng Văn Sang(7-26)'!F19</f>
        <v>07</v>
      </c>
      <c r="G38" s="270">
        <f>'Ng Văn Sang(7-26)'!C19</f>
        <v>26</v>
      </c>
      <c r="H38" s="271">
        <f>'Ng Văn Sang(7-26)'!C20</f>
        <v>239.1</v>
      </c>
      <c r="I38" s="271">
        <f>'Ng Văn Sang(7-26)'!C22</f>
        <v>102.6</v>
      </c>
      <c r="J38" s="190">
        <f t="shared" si="5"/>
        <v>136.5</v>
      </c>
      <c r="K38" s="190">
        <f t="shared" si="2"/>
        <v>102.6</v>
      </c>
      <c r="L38" s="271"/>
      <c r="M38" s="190">
        <f t="shared" si="1"/>
        <v>102.6</v>
      </c>
      <c r="N38" s="271" t="str">
        <f>'Ng Văn Sang(7-26)'!H26</f>
        <v>01</v>
      </c>
      <c r="O38" s="270" t="str">
        <f>'Ng Văn Sang(7-26)'!H27</f>
        <v>04</v>
      </c>
      <c r="P38" s="189">
        <f>'Ng Văn Sang(7-26)'!H34</f>
        <v>0</v>
      </c>
      <c r="Q38" s="189">
        <f>'Ng Văn Sang(7-26)'!H49</f>
        <v>0</v>
      </c>
      <c r="R38" s="189">
        <f>'Ng Văn Sang(7-26)'!H54</f>
        <v>0</v>
      </c>
      <c r="S38" s="314">
        <f>'Ng Văn Sang(7-26)'!H61</f>
        <v>0</v>
      </c>
      <c r="T38" s="272"/>
      <c r="U38" s="272"/>
      <c r="W38" s="274"/>
      <c r="X38" s="275"/>
      <c r="Y38" s="276"/>
      <c r="Z38" s="277"/>
      <c r="AA38" s="278"/>
    </row>
    <row r="39" spans="1:27" s="273" customFormat="1" ht="68.25" customHeight="1" x14ac:dyDescent="0.25">
      <c r="A39" s="194">
        <f t="shared" si="4"/>
        <v>31</v>
      </c>
      <c r="B39" s="31" t="str">
        <f>'Trần Huy Chuyển(8-34)'!F9</f>
        <v>Trần Huy Chuyển - Trần Thị Vang</v>
      </c>
      <c r="C39" s="35" t="str">
        <f>'Trần Huy Chuyển(8-34)'!C12:E12</f>
        <v>001058021024</v>
      </c>
      <c r="D39" s="216" t="str">
        <f>'Trần Huy Chuyển(8-34)'!C10</f>
        <v>Thôn Yên Kiện Đồi - xã Phú Nghĩa - TP Hà Nội</v>
      </c>
      <c r="E39" s="35" t="str">
        <f>'Trần Huy Chuyển(8-34)'!C24</f>
        <v>Quốc Lộ 6 - Thôn Yên Kiện Đồi - Xã Phú Nghĩa - TP Hà Nội</v>
      </c>
      <c r="F39" s="270" t="str">
        <f>'Trần Huy Chuyển(8-34)'!F19</f>
        <v>08</v>
      </c>
      <c r="G39" s="270">
        <f>'Trần Huy Chuyển(8-34)'!C19</f>
        <v>34</v>
      </c>
      <c r="H39" s="271">
        <f>'Trần Huy Chuyển(8-34)'!C20</f>
        <v>113.7</v>
      </c>
      <c r="I39" s="271">
        <f>'Trần Huy Chuyển(8-34)'!C22</f>
        <v>54.9</v>
      </c>
      <c r="J39" s="190">
        <f t="shared" si="5"/>
        <v>58.800000000000004</v>
      </c>
      <c r="K39" s="190">
        <f t="shared" si="2"/>
        <v>54.9</v>
      </c>
      <c r="L39" s="271"/>
      <c r="M39" s="190">
        <f t="shared" si="1"/>
        <v>54.9</v>
      </c>
      <c r="N39" s="271" t="str">
        <f>'Trần Huy Chuyển(8-34)'!H26</f>
        <v>01</v>
      </c>
      <c r="O39" s="270" t="str">
        <f>'Trần Huy Chuyển(8-34)'!H27</f>
        <v>04</v>
      </c>
      <c r="P39" s="189">
        <f>'Trần Huy Chuyển(8-34)'!H34</f>
        <v>0</v>
      </c>
      <c r="Q39" s="189">
        <f>'Trần Huy Chuyển(8-34)'!H49</f>
        <v>0</v>
      </c>
      <c r="R39" s="189">
        <f>'Trần Huy Chuyển(8-34)'!H55</f>
        <v>0</v>
      </c>
      <c r="S39" s="314">
        <f>'Trần Huy Chuyển(8-34)'!H62</f>
        <v>0</v>
      </c>
      <c r="T39" s="272"/>
      <c r="U39" s="272"/>
      <c r="W39" s="274"/>
      <c r="X39" s="275"/>
      <c r="Y39" s="276"/>
      <c r="Z39" s="277"/>
      <c r="AA39" s="278"/>
    </row>
    <row r="40" spans="1:27" s="273" customFormat="1" ht="68.25" customHeight="1" x14ac:dyDescent="0.25">
      <c r="A40" s="194">
        <f t="shared" si="4"/>
        <v>32</v>
      </c>
      <c r="B40" s="31" t="str">
        <f>'Trần Huy Chuyển(8-37)'!F9</f>
        <v xml:space="preserve">Trần Huy Chuyển </v>
      </c>
      <c r="C40" s="35" t="str">
        <f>'Trần Huy Chuyển(8-37)'!C12:E12</f>
        <v>001058021024</v>
      </c>
      <c r="D40" s="216" t="str">
        <f>'Trần Huy Chuyển(8-37)'!C10</f>
        <v>Thôn Yên Kiện Đồi - xã Phú Nghĩa - TP Hà Nội</v>
      </c>
      <c r="E40" s="35" t="str">
        <f>'Trần Huy Chuyển(8-37)'!C24</f>
        <v>Quốc Lộ 6 - Thôn Yên Kiện Đồi - Xã Phú Nghĩa - TP Hà Nội</v>
      </c>
      <c r="F40" s="270" t="str">
        <f>'Trần Huy Chuyển(8-37)'!F19</f>
        <v>08</v>
      </c>
      <c r="G40" s="270">
        <f>'Trần Huy Chuyển(8-37)'!C19</f>
        <v>37</v>
      </c>
      <c r="H40" s="271">
        <f>'Trần Huy Chuyển(8-37)'!C20</f>
        <v>113.5</v>
      </c>
      <c r="I40" s="271">
        <f>'Trần Huy Chuyển(8-37)'!C22</f>
        <v>49.6</v>
      </c>
      <c r="J40" s="190">
        <f t="shared" si="5"/>
        <v>63.9</v>
      </c>
      <c r="K40" s="190">
        <f t="shared" si="2"/>
        <v>49.6</v>
      </c>
      <c r="L40" s="271"/>
      <c r="M40" s="190">
        <f t="shared" si="1"/>
        <v>49.6</v>
      </c>
      <c r="N40" s="271" t="str">
        <f>'Trần Huy Chuyển(8-37)'!H26</f>
        <v>01</v>
      </c>
      <c r="O40" s="270" t="str">
        <f>'Trần Huy Chuyển(8-37)'!H27</f>
        <v>05</v>
      </c>
      <c r="P40" s="189">
        <f>'Trần Huy Chuyển(8-37)'!H34</f>
        <v>0</v>
      </c>
      <c r="Q40" s="189">
        <f>'Trần Huy Chuyển(8-37)'!H49</f>
        <v>0</v>
      </c>
      <c r="R40" s="189">
        <f>'Trần Huy Chuyển(8-37)'!H58</f>
        <v>0</v>
      </c>
      <c r="S40" s="314">
        <f>'Trần Huy Chuyển(8-37)'!H65</f>
        <v>0</v>
      </c>
      <c r="T40" s="272"/>
      <c r="U40" s="272"/>
      <c r="W40" s="274"/>
      <c r="X40" s="275"/>
      <c r="Y40" s="276"/>
      <c r="Z40" s="277"/>
      <c r="AA40" s="278"/>
    </row>
    <row r="41" spans="1:27" s="273" customFormat="1" ht="68.25" customHeight="1" x14ac:dyDescent="0.25">
      <c r="A41" s="194">
        <f t="shared" si="4"/>
        <v>33</v>
      </c>
      <c r="B41" s="31" t="str">
        <f>'Ng Thị Sinh(8-17)'!F9</f>
        <v>Nguyễn Thị Sinh</v>
      </c>
      <c r="C41" s="35" t="str">
        <f>'Ng Thị Sinh(8-17)'!C12:E12</f>
        <v>001168051155</v>
      </c>
      <c r="D41" s="216" t="str">
        <f>'Ng Thị Sinh(8-17)'!C10</f>
        <v>Thôn Yên Kiện Đồi - xã Phú Nghĩa - TP Hà Nội</v>
      </c>
      <c r="E41" s="35" t="str">
        <f>'Ng Thị Sinh(8-17)'!C24</f>
        <v>Quốc Lộ 6 - Thôn Yên Kiện Đồi - Xã Phú Nghĩa - TP Hà Nội</v>
      </c>
      <c r="F41" s="270" t="str">
        <f>'Ng Thị Sinh(8-17)'!F19</f>
        <v>08</v>
      </c>
      <c r="G41" s="270">
        <f>'Ng Thị Sinh(8-17)'!C19</f>
        <v>16</v>
      </c>
      <c r="H41" s="271">
        <f>'Ng Thị Sinh(8-17)'!C20</f>
        <v>175.7</v>
      </c>
      <c r="I41" s="271">
        <f>'Ng Thị Sinh(8-17)'!C22</f>
        <v>57.7</v>
      </c>
      <c r="J41" s="190">
        <f t="shared" si="5"/>
        <v>117.99999999999999</v>
      </c>
      <c r="K41" s="190">
        <f t="shared" si="2"/>
        <v>57.7</v>
      </c>
      <c r="L41" s="271"/>
      <c r="M41" s="190">
        <f t="shared" si="1"/>
        <v>57.7</v>
      </c>
      <c r="N41" s="271" t="str">
        <f>'Ng Thị Sinh(8-17)'!H26</f>
        <v>01</v>
      </c>
      <c r="O41" s="270" t="str">
        <f>'Ng Thị Sinh(8-17)'!H27</f>
        <v>05</v>
      </c>
      <c r="P41" s="189">
        <f>'Ng Thị Sinh(8-17)'!H34</f>
        <v>0</v>
      </c>
      <c r="Q41" s="189">
        <f>'Ng Thị Sinh(8-17)'!H49</f>
        <v>0</v>
      </c>
      <c r="R41" s="189">
        <f>'Ng Thị Sinh(8-17)'!H58</f>
        <v>0</v>
      </c>
      <c r="S41" s="314">
        <f>'Ng Thị Sinh(8-17)'!H65</f>
        <v>0</v>
      </c>
      <c r="T41" s="272"/>
      <c r="U41" s="272"/>
      <c r="W41" s="274"/>
      <c r="X41" s="275"/>
      <c r="Y41" s="276"/>
      <c r="Z41" s="277"/>
      <c r="AA41" s="278"/>
    </row>
    <row r="42" spans="1:27" s="5" customFormat="1" ht="36.75" customHeight="1" thickBot="1" x14ac:dyDescent="0.35">
      <c r="A42" s="203"/>
      <c r="B42" s="14" t="s">
        <v>80</v>
      </c>
      <c r="C42" s="217"/>
      <c r="D42" s="218"/>
      <c r="E42" s="217"/>
      <c r="F42" s="219"/>
      <c r="G42" s="219"/>
      <c r="H42" s="220">
        <f>SUM(H9:H41)</f>
        <v>5603.3999999999987</v>
      </c>
      <c r="I42" s="220">
        <f>SUM(I9:I41)</f>
        <v>2148</v>
      </c>
      <c r="J42" s="220">
        <f>SUM(J9:J41)</f>
        <v>4543.0999999999995</v>
      </c>
      <c r="K42" s="220">
        <f>SUM(K9:K41)</f>
        <v>2148</v>
      </c>
      <c r="L42" s="220">
        <f>SUM(L9:L28)</f>
        <v>0</v>
      </c>
      <c r="M42" s="220">
        <f>SUM(M9:M41)</f>
        <v>2148</v>
      </c>
      <c r="N42" s="220"/>
      <c r="O42" s="220"/>
      <c r="P42" s="220">
        <f>SUM(P9:P41)</f>
        <v>0</v>
      </c>
      <c r="Q42" s="220">
        <f t="shared" ref="Q42:R42" si="6">SUM(Q9:Q41)</f>
        <v>0</v>
      </c>
      <c r="R42" s="220">
        <f t="shared" si="6"/>
        <v>0</v>
      </c>
      <c r="S42" s="221">
        <f>SUM(R9:R41)</f>
        <v>0</v>
      </c>
      <c r="T42" s="199"/>
      <c r="U42" s="199"/>
      <c r="V42" s="199"/>
      <c r="W42" s="198">
        <f>SUM(W9:W28)</f>
        <v>0</v>
      </c>
      <c r="X42" s="15">
        <f>SUM(X9:X28)</f>
        <v>0</v>
      </c>
      <c r="Y42" s="15">
        <f>SUM(Y9:Y28)</f>
        <v>0</v>
      </c>
      <c r="Z42" s="3"/>
      <c r="AA42" s="4"/>
    </row>
    <row r="43" spans="1:27" ht="15.75" thickTop="1" x14ac:dyDescent="0.25"/>
    <row r="45" spans="1:27" x14ac:dyDescent="0.25">
      <c r="N45" s="13"/>
      <c r="O45" s="405"/>
      <c r="P45" s="405"/>
      <c r="Q45" s="405"/>
      <c r="R45" s="405"/>
      <c r="S45" s="405"/>
      <c r="T45" s="405"/>
      <c r="U45" s="405"/>
      <c r="V45" s="405"/>
      <c r="W45" s="405"/>
      <c r="X45" s="405"/>
      <c r="Y45" s="405"/>
    </row>
    <row r="46" spans="1:27" x14ac:dyDescent="0.25">
      <c r="N46" s="13"/>
      <c r="O46" s="405"/>
      <c r="P46" s="405"/>
      <c r="Q46" s="405"/>
      <c r="R46" s="405"/>
      <c r="S46" s="405"/>
      <c r="T46" s="405"/>
      <c r="U46" s="405"/>
      <c r="V46" s="405"/>
      <c r="W46" s="405"/>
      <c r="X46" s="405"/>
      <c r="Y46" s="405"/>
    </row>
    <row r="47" spans="1:27" x14ac:dyDescent="0.25">
      <c r="N47" s="13"/>
      <c r="O47" s="405"/>
      <c r="P47" s="405"/>
      <c r="Q47" s="405"/>
      <c r="R47" s="405"/>
      <c r="S47" s="405"/>
      <c r="T47" s="405"/>
      <c r="U47" s="405"/>
      <c r="V47" s="405"/>
      <c r="W47" s="405"/>
      <c r="X47" s="405"/>
      <c r="Y47" s="405"/>
    </row>
    <row r="48" spans="1:27" x14ac:dyDescent="0.25">
      <c r="N48" s="13"/>
      <c r="O48" s="13"/>
      <c r="P48" s="13"/>
      <c r="Q48" s="13"/>
      <c r="R48" s="13"/>
      <c r="S48" s="13"/>
      <c r="T48" s="13"/>
      <c r="U48" s="13"/>
      <c r="V48" s="13"/>
      <c r="W48" s="13"/>
      <c r="X48" s="13"/>
      <c r="Y48" s="13"/>
    </row>
    <row r="49" spans="14:25" x14ac:dyDescent="0.25">
      <c r="N49" s="13"/>
      <c r="O49" s="13"/>
      <c r="P49" s="13"/>
      <c r="Q49" s="13"/>
      <c r="R49" s="13"/>
      <c r="S49" s="13"/>
      <c r="T49" s="13"/>
      <c r="U49" s="13"/>
      <c r="V49" s="13"/>
      <c r="W49" s="13"/>
      <c r="X49" s="13"/>
      <c r="Y49" s="13"/>
    </row>
    <row r="50" spans="14:25" x14ac:dyDescent="0.25">
      <c r="N50" s="13"/>
      <c r="O50" s="13"/>
      <c r="P50" s="13"/>
      <c r="Q50" s="13"/>
      <c r="R50" s="13"/>
      <c r="S50" s="13"/>
      <c r="T50" s="13"/>
      <c r="U50" s="13"/>
      <c r="V50" s="13"/>
      <c r="W50" s="13"/>
      <c r="X50" s="13"/>
      <c r="Y50" s="13"/>
    </row>
    <row r="51" spans="14:25" x14ac:dyDescent="0.25">
      <c r="N51" s="13"/>
      <c r="O51" s="13"/>
      <c r="P51" s="13"/>
      <c r="Q51" s="13"/>
      <c r="R51" s="13"/>
      <c r="S51" s="13"/>
      <c r="T51" s="13"/>
      <c r="U51" s="13"/>
      <c r="V51" s="13"/>
      <c r="W51" s="13"/>
      <c r="X51" s="13"/>
      <c r="Y51" s="13"/>
    </row>
    <row r="52" spans="14:25" x14ac:dyDescent="0.25">
      <c r="N52" s="13"/>
      <c r="O52" s="13"/>
      <c r="P52" s="13"/>
      <c r="Q52" s="13"/>
      <c r="R52" s="13"/>
      <c r="S52" s="13"/>
      <c r="T52" s="13"/>
      <c r="U52" s="13"/>
      <c r="V52" s="13"/>
      <c r="W52" s="13"/>
      <c r="X52" s="13"/>
      <c r="Y52" s="13"/>
    </row>
    <row r="53" spans="14:25" x14ac:dyDescent="0.25">
      <c r="N53" s="13"/>
      <c r="O53" s="13"/>
      <c r="P53" s="13"/>
      <c r="Q53" s="13"/>
      <c r="R53" s="13"/>
      <c r="S53" s="13"/>
      <c r="T53" s="13"/>
      <c r="U53" s="13"/>
      <c r="V53" s="13"/>
      <c r="W53" s="13"/>
      <c r="X53" s="13"/>
      <c r="Y53" s="13"/>
    </row>
    <row r="54" spans="14:25" x14ac:dyDescent="0.25">
      <c r="N54" s="13"/>
      <c r="O54" s="405"/>
      <c r="P54" s="405"/>
      <c r="Q54" s="405"/>
      <c r="R54" s="405"/>
      <c r="S54" s="405"/>
      <c r="T54" s="405"/>
      <c r="U54" s="405"/>
      <c r="V54" s="405"/>
      <c r="W54" s="405"/>
      <c r="X54" s="405"/>
      <c r="Y54" s="405"/>
    </row>
  </sheetData>
  <mergeCells count="28">
    <mergeCell ref="C5:C7"/>
    <mergeCell ref="D5:D7"/>
    <mergeCell ref="E5:E7"/>
    <mergeCell ref="O54:Y54"/>
    <mergeCell ref="O45:Y45"/>
    <mergeCell ref="O46:Y46"/>
    <mergeCell ref="O47:Y47"/>
    <mergeCell ref="G5:G7"/>
    <mergeCell ref="V5:V7"/>
    <mergeCell ref="T5:T7"/>
    <mergeCell ref="U5:U7"/>
    <mergeCell ref="F5:F7"/>
    <mergeCell ref="A3:S3"/>
    <mergeCell ref="A1:S1"/>
    <mergeCell ref="A2:S2"/>
    <mergeCell ref="H5:M5"/>
    <mergeCell ref="N5:N7"/>
    <mergeCell ref="O5:O7"/>
    <mergeCell ref="P5:P7"/>
    <mergeCell ref="L6:M6"/>
    <mergeCell ref="H6:H7"/>
    <mergeCell ref="I6:J6"/>
    <mergeCell ref="K6:K7"/>
    <mergeCell ref="Q5:Q7"/>
    <mergeCell ref="R5:R7"/>
    <mergeCell ref="S5:S7"/>
    <mergeCell ref="A5:A7"/>
    <mergeCell ref="B5:B7"/>
  </mergeCells>
  <printOptions horizontalCentered="1"/>
  <pageMargins left="0.15748031496062992" right="0.15748031496062992" top="0.59055118110236227" bottom="0.31496062992125984" header="0.19685039370078741" footer="0.27559055118110237"/>
  <pageSetup paperSize="8" scale="70" orientation="landscape" r:id="rId1"/>
  <colBreaks count="1" manualBreakCount="1">
    <brk id="19" max="1048575" man="1"/>
  </colBreaks>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1"/>
  <sheetViews>
    <sheetView zoomScale="85" zoomScaleNormal="85" zoomScaleSheetLayoutView="85" workbookViewId="0">
      <pane ySplit="7" topLeftCell="A8" activePane="bottomLeft" state="frozen"/>
      <selection pane="bottomLeft" activeCell="U10" sqref="U10"/>
    </sheetView>
  </sheetViews>
  <sheetFormatPr defaultColWidth="8.7109375" defaultRowHeight="15" x14ac:dyDescent="0.25"/>
  <cols>
    <col min="1" max="1" width="9.140625" style="202" customWidth="1"/>
    <col min="2" max="2" width="29.42578125" style="2" customWidth="1"/>
    <col min="3" max="3" width="22.7109375" style="2" customWidth="1"/>
    <col min="4" max="4" width="34.28515625" style="204" customWidth="1"/>
    <col min="5" max="5" width="25.28515625" style="2" customWidth="1"/>
    <col min="6" max="6" width="10.42578125" style="2" hidden="1" customWidth="1"/>
    <col min="7" max="7" width="9" style="2" hidden="1" customWidth="1"/>
    <col min="8" max="8" width="12.28515625" style="2" hidden="1" customWidth="1"/>
    <col min="9" max="9" width="12.7109375" style="2" hidden="1" customWidth="1"/>
    <col min="10" max="10" width="10.42578125" style="2" hidden="1" customWidth="1"/>
    <col min="11" max="12" width="11.42578125" style="2" hidden="1" customWidth="1"/>
    <col min="13" max="13" width="14.42578125" style="2" hidden="1" customWidth="1"/>
    <col min="14" max="14" width="8.42578125" style="2" hidden="1" customWidth="1"/>
    <col min="15" max="15" width="9.7109375" style="2" hidden="1" customWidth="1"/>
    <col min="16" max="16" width="12.140625" style="2" hidden="1" customWidth="1"/>
    <col min="17" max="17" width="10" style="2" hidden="1" customWidth="1"/>
    <col min="18" max="18" width="12.42578125" style="2" hidden="1" customWidth="1"/>
    <col min="19" max="19" width="16.7109375" style="2" hidden="1" customWidth="1"/>
    <col min="20" max="20" width="10.140625" style="2" customWidth="1"/>
    <col min="21" max="22" width="14.42578125" style="2" customWidth="1"/>
    <col min="23" max="23" width="16" style="2" customWidth="1"/>
    <col min="24" max="24" width="14.42578125" style="2" customWidth="1"/>
    <col min="25" max="25" width="15.7109375" style="2" customWidth="1"/>
    <col min="26" max="26" width="115.42578125" style="2" customWidth="1"/>
    <col min="27" max="27" width="11.42578125" style="2" customWidth="1"/>
    <col min="28" max="28" width="76.42578125" style="2" customWidth="1"/>
    <col min="29" max="258" width="9.140625" style="2"/>
    <col min="259" max="259" width="7.42578125" style="2" customWidth="1"/>
    <col min="260" max="263" width="14" style="2" customWidth="1"/>
    <col min="264" max="265" width="8.42578125" style="2" customWidth="1"/>
    <col min="266" max="271" width="9.140625" style="2"/>
    <col min="272" max="272" width="10.140625" style="2" bestFit="1" customWidth="1"/>
    <col min="273" max="274" width="9.140625" style="2"/>
    <col min="275" max="275" width="6.7109375" style="2" customWidth="1"/>
    <col min="276" max="276" width="8.42578125" style="2" customWidth="1"/>
    <col min="277" max="283" width="14.42578125" style="2" customWidth="1"/>
    <col min="284" max="284" width="71.7109375" style="2" customWidth="1"/>
    <col min="285" max="514" width="9.140625" style="2"/>
    <col min="515" max="515" width="7.42578125" style="2" customWidth="1"/>
    <col min="516" max="519" width="14" style="2" customWidth="1"/>
    <col min="520" max="521" width="8.42578125" style="2" customWidth="1"/>
    <col min="522" max="527" width="9.140625" style="2"/>
    <col min="528" max="528" width="10.140625" style="2" bestFit="1" customWidth="1"/>
    <col min="529" max="530" width="9.140625" style="2"/>
    <col min="531" max="531" width="6.7109375" style="2" customWidth="1"/>
    <col min="532" max="532" width="8.42578125" style="2" customWidth="1"/>
    <col min="533" max="539" width="14.42578125" style="2" customWidth="1"/>
    <col min="540" max="540" width="71.7109375" style="2" customWidth="1"/>
    <col min="541" max="770" width="9.140625" style="2"/>
    <col min="771" max="771" width="7.42578125" style="2" customWidth="1"/>
    <col min="772" max="775" width="14" style="2" customWidth="1"/>
    <col min="776" max="777" width="8.42578125" style="2" customWidth="1"/>
    <col min="778" max="783" width="9.140625" style="2"/>
    <col min="784" max="784" width="10.140625" style="2" bestFit="1" customWidth="1"/>
    <col min="785" max="786" width="9.140625" style="2"/>
    <col min="787" max="787" width="6.7109375" style="2" customWidth="1"/>
    <col min="788" max="788" width="8.42578125" style="2" customWidth="1"/>
    <col min="789" max="795" width="14.42578125" style="2" customWidth="1"/>
    <col min="796" max="796" width="71.7109375" style="2" customWidth="1"/>
    <col min="797" max="1026" width="9.140625" style="2"/>
    <col min="1027" max="1027" width="7.42578125" style="2" customWidth="1"/>
    <col min="1028" max="1031" width="14" style="2" customWidth="1"/>
    <col min="1032" max="1033" width="8.42578125" style="2" customWidth="1"/>
    <col min="1034" max="1039" width="9.140625" style="2"/>
    <col min="1040" max="1040" width="10.140625" style="2" bestFit="1" customWidth="1"/>
    <col min="1041" max="1042" width="9.140625" style="2"/>
    <col min="1043" max="1043" width="6.7109375" style="2" customWidth="1"/>
    <col min="1044" max="1044" width="8.42578125" style="2" customWidth="1"/>
    <col min="1045" max="1051" width="14.42578125" style="2" customWidth="1"/>
    <col min="1052" max="1052" width="71.7109375" style="2" customWidth="1"/>
    <col min="1053" max="1282" width="9.140625" style="2"/>
    <col min="1283" max="1283" width="7.42578125" style="2" customWidth="1"/>
    <col min="1284" max="1287" width="14" style="2" customWidth="1"/>
    <col min="1288" max="1289" width="8.42578125" style="2" customWidth="1"/>
    <col min="1290" max="1295" width="9.140625" style="2"/>
    <col min="1296" max="1296" width="10.140625" style="2" bestFit="1" customWidth="1"/>
    <col min="1297" max="1298" width="9.140625" style="2"/>
    <col min="1299" max="1299" width="6.7109375" style="2" customWidth="1"/>
    <col min="1300" max="1300" width="8.42578125" style="2" customWidth="1"/>
    <col min="1301" max="1307" width="14.42578125" style="2" customWidth="1"/>
    <col min="1308" max="1308" width="71.7109375" style="2" customWidth="1"/>
    <col min="1309" max="1538" width="9.140625" style="2"/>
    <col min="1539" max="1539" width="7.42578125" style="2" customWidth="1"/>
    <col min="1540" max="1543" width="14" style="2" customWidth="1"/>
    <col min="1544" max="1545" width="8.42578125" style="2" customWidth="1"/>
    <col min="1546" max="1551" width="9.140625" style="2"/>
    <col min="1552" max="1552" width="10.140625" style="2" bestFit="1" customWidth="1"/>
    <col min="1553" max="1554" width="9.140625" style="2"/>
    <col min="1555" max="1555" width="6.7109375" style="2" customWidth="1"/>
    <col min="1556" max="1556" width="8.42578125" style="2" customWidth="1"/>
    <col min="1557" max="1563" width="14.42578125" style="2" customWidth="1"/>
    <col min="1564" max="1564" width="71.7109375" style="2" customWidth="1"/>
    <col min="1565" max="1794" width="9.140625" style="2"/>
    <col min="1795" max="1795" width="7.42578125" style="2" customWidth="1"/>
    <col min="1796" max="1799" width="14" style="2" customWidth="1"/>
    <col min="1800" max="1801" width="8.42578125" style="2" customWidth="1"/>
    <col min="1802" max="1807" width="9.140625" style="2"/>
    <col min="1808" max="1808" width="10.140625" style="2" bestFit="1" customWidth="1"/>
    <col min="1809" max="1810" width="9.140625" style="2"/>
    <col min="1811" max="1811" width="6.7109375" style="2" customWidth="1"/>
    <col min="1812" max="1812" width="8.42578125" style="2" customWidth="1"/>
    <col min="1813" max="1819" width="14.42578125" style="2" customWidth="1"/>
    <col min="1820" max="1820" width="71.7109375" style="2" customWidth="1"/>
    <col min="1821" max="2050" width="9.140625" style="2"/>
    <col min="2051" max="2051" width="7.42578125" style="2" customWidth="1"/>
    <col min="2052" max="2055" width="14" style="2" customWidth="1"/>
    <col min="2056" max="2057" width="8.42578125" style="2" customWidth="1"/>
    <col min="2058" max="2063" width="9.140625" style="2"/>
    <col min="2064" max="2064" width="10.140625" style="2" bestFit="1" customWidth="1"/>
    <col min="2065" max="2066" width="9.140625" style="2"/>
    <col min="2067" max="2067" width="6.7109375" style="2" customWidth="1"/>
    <col min="2068" max="2068" width="8.42578125" style="2" customWidth="1"/>
    <col min="2069" max="2075" width="14.42578125" style="2" customWidth="1"/>
    <col min="2076" max="2076" width="71.7109375" style="2" customWidth="1"/>
    <col min="2077" max="2306" width="9.140625" style="2"/>
    <col min="2307" max="2307" width="7.42578125" style="2" customWidth="1"/>
    <col min="2308" max="2311" width="14" style="2" customWidth="1"/>
    <col min="2312" max="2313" width="8.42578125" style="2" customWidth="1"/>
    <col min="2314" max="2319" width="9.140625" style="2"/>
    <col min="2320" max="2320" width="10.140625" style="2" bestFit="1" customWidth="1"/>
    <col min="2321" max="2322" width="9.140625" style="2"/>
    <col min="2323" max="2323" width="6.7109375" style="2" customWidth="1"/>
    <col min="2324" max="2324" width="8.42578125" style="2" customWidth="1"/>
    <col min="2325" max="2331" width="14.42578125" style="2" customWidth="1"/>
    <col min="2332" max="2332" width="71.7109375" style="2" customWidth="1"/>
    <col min="2333" max="2562" width="9.140625" style="2"/>
    <col min="2563" max="2563" width="7.42578125" style="2" customWidth="1"/>
    <col min="2564" max="2567" width="14" style="2" customWidth="1"/>
    <col min="2568" max="2569" width="8.42578125" style="2" customWidth="1"/>
    <col min="2570" max="2575" width="9.140625" style="2"/>
    <col min="2576" max="2576" width="10.140625" style="2" bestFit="1" customWidth="1"/>
    <col min="2577" max="2578" width="9.140625" style="2"/>
    <col min="2579" max="2579" width="6.7109375" style="2" customWidth="1"/>
    <col min="2580" max="2580" width="8.42578125" style="2" customWidth="1"/>
    <col min="2581" max="2587" width="14.42578125" style="2" customWidth="1"/>
    <col min="2588" max="2588" width="71.7109375" style="2" customWidth="1"/>
    <col min="2589" max="2818" width="9.140625" style="2"/>
    <col min="2819" max="2819" width="7.42578125" style="2" customWidth="1"/>
    <col min="2820" max="2823" width="14" style="2" customWidth="1"/>
    <col min="2824" max="2825" width="8.42578125" style="2" customWidth="1"/>
    <col min="2826" max="2831" width="9.140625" style="2"/>
    <col min="2832" max="2832" width="10.140625" style="2" bestFit="1" customWidth="1"/>
    <col min="2833" max="2834" width="9.140625" style="2"/>
    <col min="2835" max="2835" width="6.7109375" style="2" customWidth="1"/>
    <col min="2836" max="2836" width="8.42578125" style="2" customWidth="1"/>
    <col min="2837" max="2843" width="14.42578125" style="2" customWidth="1"/>
    <col min="2844" max="2844" width="71.7109375" style="2" customWidth="1"/>
    <col min="2845" max="3074" width="9.140625" style="2"/>
    <col min="3075" max="3075" width="7.42578125" style="2" customWidth="1"/>
    <col min="3076" max="3079" width="14" style="2" customWidth="1"/>
    <col min="3080" max="3081" width="8.42578125" style="2" customWidth="1"/>
    <col min="3082" max="3087" width="9.140625" style="2"/>
    <col min="3088" max="3088" width="10.140625" style="2" bestFit="1" customWidth="1"/>
    <col min="3089" max="3090" width="9.140625" style="2"/>
    <col min="3091" max="3091" width="6.7109375" style="2" customWidth="1"/>
    <col min="3092" max="3092" width="8.42578125" style="2" customWidth="1"/>
    <col min="3093" max="3099" width="14.42578125" style="2" customWidth="1"/>
    <col min="3100" max="3100" width="71.7109375" style="2" customWidth="1"/>
    <col min="3101" max="3330" width="9.140625" style="2"/>
    <col min="3331" max="3331" width="7.42578125" style="2" customWidth="1"/>
    <col min="3332" max="3335" width="14" style="2" customWidth="1"/>
    <col min="3336" max="3337" width="8.42578125" style="2" customWidth="1"/>
    <col min="3338" max="3343" width="9.140625" style="2"/>
    <col min="3344" max="3344" width="10.140625" style="2" bestFit="1" customWidth="1"/>
    <col min="3345" max="3346" width="9.140625" style="2"/>
    <col min="3347" max="3347" width="6.7109375" style="2" customWidth="1"/>
    <col min="3348" max="3348" width="8.42578125" style="2" customWidth="1"/>
    <col min="3349" max="3355" width="14.42578125" style="2" customWidth="1"/>
    <col min="3356" max="3356" width="71.7109375" style="2" customWidth="1"/>
    <col min="3357" max="3586" width="9.140625" style="2"/>
    <col min="3587" max="3587" width="7.42578125" style="2" customWidth="1"/>
    <col min="3588" max="3591" width="14" style="2" customWidth="1"/>
    <col min="3592" max="3593" width="8.42578125" style="2" customWidth="1"/>
    <col min="3594" max="3599" width="9.140625" style="2"/>
    <col min="3600" max="3600" width="10.140625" style="2" bestFit="1" customWidth="1"/>
    <col min="3601" max="3602" width="9.140625" style="2"/>
    <col min="3603" max="3603" width="6.7109375" style="2" customWidth="1"/>
    <col min="3604" max="3604" width="8.42578125" style="2" customWidth="1"/>
    <col min="3605" max="3611" width="14.42578125" style="2" customWidth="1"/>
    <col min="3612" max="3612" width="71.7109375" style="2" customWidth="1"/>
    <col min="3613" max="3842" width="9.140625" style="2"/>
    <col min="3843" max="3843" width="7.42578125" style="2" customWidth="1"/>
    <col min="3844" max="3847" width="14" style="2" customWidth="1"/>
    <col min="3848" max="3849" width="8.42578125" style="2" customWidth="1"/>
    <col min="3850" max="3855" width="9.140625" style="2"/>
    <col min="3856" max="3856" width="10.140625" style="2" bestFit="1" customWidth="1"/>
    <col min="3857" max="3858" width="9.140625" style="2"/>
    <col min="3859" max="3859" width="6.7109375" style="2" customWidth="1"/>
    <col min="3860" max="3860" width="8.42578125" style="2" customWidth="1"/>
    <col min="3861" max="3867" width="14.42578125" style="2" customWidth="1"/>
    <col min="3868" max="3868" width="71.7109375" style="2" customWidth="1"/>
    <col min="3869" max="4098" width="9.140625" style="2"/>
    <col min="4099" max="4099" width="7.42578125" style="2" customWidth="1"/>
    <col min="4100" max="4103" width="14" style="2" customWidth="1"/>
    <col min="4104" max="4105" width="8.42578125" style="2" customWidth="1"/>
    <col min="4106" max="4111" width="9.140625" style="2"/>
    <col min="4112" max="4112" width="10.140625" style="2" bestFit="1" customWidth="1"/>
    <col min="4113" max="4114" width="9.140625" style="2"/>
    <col min="4115" max="4115" width="6.7109375" style="2" customWidth="1"/>
    <col min="4116" max="4116" width="8.42578125" style="2" customWidth="1"/>
    <col min="4117" max="4123" width="14.42578125" style="2" customWidth="1"/>
    <col min="4124" max="4124" width="71.7109375" style="2" customWidth="1"/>
    <col min="4125" max="4354" width="9.140625" style="2"/>
    <col min="4355" max="4355" width="7.42578125" style="2" customWidth="1"/>
    <col min="4356" max="4359" width="14" style="2" customWidth="1"/>
    <col min="4360" max="4361" width="8.42578125" style="2" customWidth="1"/>
    <col min="4362" max="4367" width="9.140625" style="2"/>
    <col min="4368" max="4368" width="10.140625" style="2" bestFit="1" customWidth="1"/>
    <col min="4369" max="4370" width="9.140625" style="2"/>
    <col min="4371" max="4371" width="6.7109375" style="2" customWidth="1"/>
    <col min="4372" max="4372" width="8.42578125" style="2" customWidth="1"/>
    <col min="4373" max="4379" width="14.42578125" style="2" customWidth="1"/>
    <col min="4380" max="4380" width="71.7109375" style="2" customWidth="1"/>
    <col min="4381" max="4610" width="9.140625" style="2"/>
    <col min="4611" max="4611" width="7.42578125" style="2" customWidth="1"/>
    <col min="4612" max="4615" width="14" style="2" customWidth="1"/>
    <col min="4616" max="4617" width="8.42578125" style="2" customWidth="1"/>
    <col min="4618" max="4623" width="9.140625" style="2"/>
    <col min="4624" max="4624" width="10.140625" style="2" bestFit="1" customWidth="1"/>
    <col min="4625" max="4626" width="9.140625" style="2"/>
    <col min="4627" max="4627" width="6.7109375" style="2" customWidth="1"/>
    <col min="4628" max="4628" width="8.42578125" style="2" customWidth="1"/>
    <col min="4629" max="4635" width="14.42578125" style="2" customWidth="1"/>
    <col min="4636" max="4636" width="71.7109375" style="2" customWidth="1"/>
    <col min="4637" max="4866" width="9.140625" style="2"/>
    <col min="4867" max="4867" width="7.42578125" style="2" customWidth="1"/>
    <col min="4868" max="4871" width="14" style="2" customWidth="1"/>
    <col min="4872" max="4873" width="8.42578125" style="2" customWidth="1"/>
    <col min="4874" max="4879" width="9.140625" style="2"/>
    <col min="4880" max="4880" width="10.140625" style="2" bestFit="1" customWidth="1"/>
    <col min="4881" max="4882" width="9.140625" style="2"/>
    <col min="4883" max="4883" width="6.7109375" style="2" customWidth="1"/>
    <col min="4884" max="4884" width="8.42578125" style="2" customWidth="1"/>
    <col min="4885" max="4891" width="14.42578125" style="2" customWidth="1"/>
    <col min="4892" max="4892" width="71.7109375" style="2" customWidth="1"/>
    <col min="4893" max="5122" width="9.140625" style="2"/>
    <col min="5123" max="5123" width="7.42578125" style="2" customWidth="1"/>
    <col min="5124" max="5127" width="14" style="2" customWidth="1"/>
    <col min="5128" max="5129" width="8.42578125" style="2" customWidth="1"/>
    <col min="5130" max="5135" width="9.140625" style="2"/>
    <col min="5136" max="5136" width="10.140625" style="2" bestFit="1" customWidth="1"/>
    <col min="5137" max="5138" width="9.140625" style="2"/>
    <col min="5139" max="5139" width="6.7109375" style="2" customWidth="1"/>
    <col min="5140" max="5140" width="8.42578125" style="2" customWidth="1"/>
    <col min="5141" max="5147" width="14.42578125" style="2" customWidth="1"/>
    <col min="5148" max="5148" width="71.7109375" style="2" customWidth="1"/>
    <col min="5149" max="5378" width="9.140625" style="2"/>
    <col min="5379" max="5379" width="7.42578125" style="2" customWidth="1"/>
    <col min="5380" max="5383" width="14" style="2" customWidth="1"/>
    <col min="5384" max="5385" width="8.42578125" style="2" customWidth="1"/>
    <col min="5386" max="5391" width="9.140625" style="2"/>
    <col min="5392" max="5392" width="10.140625" style="2" bestFit="1" customWidth="1"/>
    <col min="5393" max="5394" width="9.140625" style="2"/>
    <col min="5395" max="5395" width="6.7109375" style="2" customWidth="1"/>
    <col min="5396" max="5396" width="8.42578125" style="2" customWidth="1"/>
    <col min="5397" max="5403" width="14.42578125" style="2" customWidth="1"/>
    <col min="5404" max="5404" width="71.7109375" style="2" customWidth="1"/>
    <col min="5405" max="5634" width="9.140625" style="2"/>
    <col min="5635" max="5635" width="7.42578125" style="2" customWidth="1"/>
    <col min="5636" max="5639" width="14" style="2" customWidth="1"/>
    <col min="5640" max="5641" width="8.42578125" style="2" customWidth="1"/>
    <col min="5642" max="5647" width="9.140625" style="2"/>
    <col min="5648" max="5648" width="10.140625" style="2" bestFit="1" customWidth="1"/>
    <col min="5649" max="5650" width="9.140625" style="2"/>
    <col min="5651" max="5651" width="6.7109375" style="2" customWidth="1"/>
    <col min="5652" max="5652" width="8.42578125" style="2" customWidth="1"/>
    <col min="5653" max="5659" width="14.42578125" style="2" customWidth="1"/>
    <col min="5660" max="5660" width="71.7109375" style="2" customWidth="1"/>
    <col min="5661" max="5890" width="9.140625" style="2"/>
    <col min="5891" max="5891" width="7.42578125" style="2" customWidth="1"/>
    <col min="5892" max="5895" width="14" style="2" customWidth="1"/>
    <col min="5896" max="5897" width="8.42578125" style="2" customWidth="1"/>
    <col min="5898" max="5903" width="9.140625" style="2"/>
    <col min="5904" max="5904" width="10.140625" style="2" bestFit="1" customWidth="1"/>
    <col min="5905" max="5906" width="9.140625" style="2"/>
    <col min="5907" max="5907" width="6.7109375" style="2" customWidth="1"/>
    <col min="5908" max="5908" width="8.42578125" style="2" customWidth="1"/>
    <col min="5909" max="5915" width="14.42578125" style="2" customWidth="1"/>
    <col min="5916" max="5916" width="71.7109375" style="2" customWidth="1"/>
    <col min="5917" max="6146" width="9.140625" style="2"/>
    <col min="6147" max="6147" width="7.42578125" style="2" customWidth="1"/>
    <col min="6148" max="6151" width="14" style="2" customWidth="1"/>
    <col min="6152" max="6153" width="8.42578125" style="2" customWidth="1"/>
    <col min="6154" max="6159" width="9.140625" style="2"/>
    <col min="6160" max="6160" width="10.140625" style="2" bestFit="1" customWidth="1"/>
    <col min="6161" max="6162" width="9.140625" style="2"/>
    <col min="6163" max="6163" width="6.7109375" style="2" customWidth="1"/>
    <col min="6164" max="6164" width="8.42578125" style="2" customWidth="1"/>
    <col min="6165" max="6171" width="14.42578125" style="2" customWidth="1"/>
    <col min="6172" max="6172" width="71.7109375" style="2" customWidth="1"/>
    <col min="6173" max="6402" width="9.140625" style="2"/>
    <col min="6403" max="6403" width="7.42578125" style="2" customWidth="1"/>
    <col min="6404" max="6407" width="14" style="2" customWidth="1"/>
    <col min="6408" max="6409" width="8.42578125" style="2" customWidth="1"/>
    <col min="6410" max="6415" width="9.140625" style="2"/>
    <col min="6416" max="6416" width="10.140625" style="2" bestFit="1" customWidth="1"/>
    <col min="6417" max="6418" width="9.140625" style="2"/>
    <col min="6419" max="6419" width="6.7109375" style="2" customWidth="1"/>
    <col min="6420" max="6420" width="8.42578125" style="2" customWidth="1"/>
    <col min="6421" max="6427" width="14.42578125" style="2" customWidth="1"/>
    <col min="6428" max="6428" width="71.7109375" style="2" customWidth="1"/>
    <col min="6429" max="6658" width="9.140625" style="2"/>
    <col min="6659" max="6659" width="7.42578125" style="2" customWidth="1"/>
    <col min="6660" max="6663" width="14" style="2" customWidth="1"/>
    <col min="6664" max="6665" width="8.42578125" style="2" customWidth="1"/>
    <col min="6666" max="6671" width="9.140625" style="2"/>
    <col min="6672" max="6672" width="10.140625" style="2" bestFit="1" customWidth="1"/>
    <col min="6673" max="6674" width="9.140625" style="2"/>
    <col min="6675" max="6675" width="6.7109375" style="2" customWidth="1"/>
    <col min="6676" max="6676" width="8.42578125" style="2" customWidth="1"/>
    <col min="6677" max="6683" width="14.42578125" style="2" customWidth="1"/>
    <col min="6684" max="6684" width="71.7109375" style="2" customWidth="1"/>
    <col min="6685" max="6914" width="9.140625" style="2"/>
    <col min="6915" max="6915" width="7.42578125" style="2" customWidth="1"/>
    <col min="6916" max="6919" width="14" style="2" customWidth="1"/>
    <col min="6920" max="6921" width="8.42578125" style="2" customWidth="1"/>
    <col min="6922" max="6927" width="9.140625" style="2"/>
    <col min="6928" max="6928" width="10.140625" style="2" bestFit="1" customWidth="1"/>
    <col min="6929" max="6930" width="9.140625" style="2"/>
    <col min="6931" max="6931" width="6.7109375" style="2" customWidth="1"/>
    <col min="6932" max="6932" width="8.42578125" style="2" customWidth="1"/>
    <col min="6933" max="6939" width="14.42578125" style="2" customWidth="1"/>
    <col min="6940" max="6940" width="71.7109375" style="2" customWidth="1"/>
    <col min="6941" max="7170" width="9.140625" style="2"/>
    <col min="7171" max="7171" width="7.42578125" style="2" customWidth="1"/>
    <col min="7172" max="7175" width="14" style="2" customWidth="1"/>
    <col min="7176" max="7177" width="8.42578125" style="2" customWidth="1"/>
    <col min="7178" max="7183" width="9.140625" style="2"/>
    <col min="7184" max="7184" width="10.140625" style="2" bestFit="1" customWidth="1"/>
    <col min="7185" max="7186" width="9.140625" style="2"/>
    <col min="7187" max="7187" width="6.7109375" style="2" customWidth="1"/>
    <col min="7188" max="7188" width="8.42578125" style="2" customWidth="1"/>
    <col min="7189" max="7195" width="14.42578125" style="2" customWidth="1"/>
    <col min="7196" max="7196" width="71.7109375" style="2" customWidth="1"/>
    <col min="7197" max="7426" width="9.140625" style="2"/>
    <col min="7427" max="7427" width="7.42578125" style="2" customWidth="1"/>
    <col min="7428" max="7431" width="14" style="2" customWidth="1"/>
    <col min="7432" max="7433" width="8.42578125" style="2" customWidth="1"/>
    <col min="7434" max="7439" width="9.140625" style="2"/>
    <col min="7440" max="7440" width="10.140625" style="2" bestFit="1" customWidth="1"/>
    <col min="7441" max="7442" width="9.140625" style="2"/>
    <col min="7443" max="7443" width="6.7109375" style="2" customWidth="1"/>
    <col min="7444" max="7444" width="8.42578125" style="2" customWidth="1"/>
    <col min="7445" max="7451" width="14.42578125" style="2" customWidth="1"/>
    <col min="7452" max="7452" width="71.7109375" style="2" customWidth="1"/>
    <col min="7453" max="7682" width="9.140625" style="2"/>
    <col min="7683" max="7683" width="7.42578125" style="2" customWidth="1"/>
    <col min="7684" max="7687" width="14" style="2" customWidth="1"/>
    <col min="7688" max="7689" width="8.42578125" style="2" customWidth="1"/>
    <col min="7690" max="7695" width="9.140625" style="2"/>
    <col min="7696" max="7696" width="10.140625" style="2" bestFit="1" customWidth="1"/>
    <col min="7697" max="7698" width="9.140625" style="2"/>
    <col min="7699" max="7699" width="6.7109375" style="2" customWidth="1"/>
    <col min="7700" max="7700" width="8.42578125" style="2" customWidth="1"/>
    <col min="7701" max="7707" width="14.42578125" style="2" customWidth="1"/>
    <col min="7708" max="7708" width="71.7109375" style="2" customWidth="1"/>
    <col min="7709" max="7938" width="9.140625" style="2"/>
    <col min="7939" max="7939" width="7.42578125" style="2" customWidth="1"/>
    <col min="7940" max="7943" width="14" style="2" customWidth="1"/>
    <col min="7944" max="7945" width="8.42578125" style="2" customWidth="1"/>
    <col min="7946" max="7951" width="9.140625" style="2"/>
    <col min="7952" max="7952" width="10.140625" style="2" bestFit="1" customWidth="1"/>
    <col min="7953" max="7954" width="9.140625" style="2"/>
    <col min="7955" max="7955" width="6.7109375" style="2" customWidth="1"/>
    <col min="7956" max="7956" width="8.42578125" style="2" customWidth="1"/>
    <col min="7957" max="7963" width="14.42578125" style="2" customWidth="1"/>
    <col min="7964" max="7964" width="71.7109375" style="2" customWidth="1"/>
    <col min="7965" max="8194" width="9.140625" style="2"/>
    <col min="8195" max="8195" width="7.42578125" style="2" customWidth="1"/>
    <col min="8196" max="8199" width="14" style="2" customWidth="1"/>
    <col min="8200" max="8201" width="8.42578125" style="2" customWidth="1"/>
    <col min="8202" max="8207" width="9.140625" style="2"/>
    <col min="8208" max="8208" width="10.140625" style="2" bestFit="1" customWidth="1"/>
    <col min="8209" max="8210" width="9.140625" style="2"/>
    <col min="8211" max="8211" width="6.7109375" style="2" customWidth="1"/>
    <col min="8212" max="8212" width="8.42578125" style="2" customWidth="1"/>
    <col min="8213" max="8219" width="14.42578125" style="2" customWidth="1"/>
    <col min="8220" max="8220" width="71.7109375" style="2" customWidth="1"/>
    <col min="8221" max="8450" width="9.140625" style="2"/>
    <col min="8451" max="8451" width="7.42578125" style="2" customWidth="1"/>
    <col min="8452" max="8455" width="14" style="2" customWidth="1"/>
    <col min="8456" max="8457" width="8.42578125" style="2" customWidth="1"/>
    <col min="8458" max="8463" width="9.140625" style="2"/>
    <col min="8464" max="8464" width="10.140625" style="2" bestFit="1" customWidth="1"/>
    <col min="8465" max="8466" width="9.140625" style="2"/>
    <col min="8467" max="8467" width="6.7109375" style="2" customWidth="1"/>
    <col min="8468" max="8468" width="8.42578125" style="2" customWidth="1"/>
    <col min="8469" max="8475" width="14.42578125" style="2" customWidth="1"/>
    <col min="8476" max="8476" width="71.7109375" style="2" customWidth="1"/>
    <col min="8477" max="8706" width="9.140625" style="2"/>
    <col min="8707" max="8707" width="7.42578125" style="2" customWidth="1"/>
    <col min="8708" max="8711" width="14" style="2" customWidth="1"/>
    <col min="8712" max="8713" width="8.42578125" style="2" customWidth="1"/>
    <col min="8714" max="8719" width="9.140625" style="2"/>
    <col min="8720" max="8720" width="10.140625" style="2" bestFit="1" customWidth="1"/>
    <col min="8721" max="8722" width="9.140625" style="2"/>
    <col min="8723" max="8723" width="6.7109375" style="2" customWidth="1"/>
    <col min="8724" max="8724" width="8.42578125" style="2" customWidth="1"/>
    <col min="8725" max="8731" width="14.42578125" style="2" customWidth="1"/>
    <col min="8732" max="8732" width="71.7109375" style="2" customWidth="1"/>
    <col min="8733" max="8962" width="9.140625" style="2"/>
    <col min="8963" max="8963" width="7.42578125" style="2" customWidth="1"/>
    <col min="8964" max="8967" width="14" style="2" customWidth="1"/>
    <col min="8968" max="8969" width="8.42578125" style="2" customWidth="1"/>
    <col min="8970" max="8975" width="9.140625" style="2"/>
    <col min="8976" max="8976" width="10.140625" style="2" bestFit="1" customWidth="1"/>
    <col min="8977" max="8978" width="9.140625" style="2"/>
    <col min="8979" max="8979" width="6.7109375" style="2" customWidth="1"/>
    <col min="8980" max="8980" width="8.42578125" style="2" customWidth="1"/>
    <col min="8981" max="8987" width="14.42578125" style="2" customWidth="1"/>
    <col min="8988" max="8988" width="71.7109375" style="2" customWidth="1"/>
    <col min="8989" max="9218" width="9.140625" style="2"/>
    <col min="9219" max="9219" width="7.42578125" style="2" customWidth="1"/>
    <col min="9220" max="9223" width="14" style="2" customWidth="1"/>
    <col min="9224" max="9225" width="8.42578125" style="2" customWidth="1"/>
    <col min="9226" max="9231" width="9.140625" style="2"/>
    <col min="9232" max="9232" width="10.140625" style="2" bestFit="1" customWidth="1"/>
    <col min="9233" max="9234" width="9.140625" style="2"/>
    <col min="9235" max="9235" width="6.7109375" style="2" customWidth="1"/>
    <col min="9236" max="9236" width="8.42578125" style="2" customWidth="1"/>
    <col min="9237" max="9243" width="14.42578125" style="2" customWidth="1"/>
    <col min="9244" max="9244" width="71.7109375" style="2" customWidth="1"/>
    <col min="9245" max="9474" width="9.140625" style="2"/>
    <col min="9475" max="9475" width="7.42578125" style="2" customWidth="1"/>
    <col min="9476" max="9479" width="14" style="2" customWidth="1"/>
    <col min="9480" max="9481" width="8.42578125" style="2" customWidth="1"/>
    <col min="9482" max="9487" width="9.140625" style="2"/>
    <col min="9488" max="9488" width="10.140625" style="2" bestFit="1" customWidth="1"/>
    <col min="9489" max="9490" width="9.140625" style="2"/>
    <col min="9491" max="9491" width="6.7109375" style="2" customWidth="1"/>
    <col min="9492" max="9492" width="8.42578125" style="2" customWidth="1"/>
    <col min="9493" max="9499" width="14.42578125" style="2" customWidth="1"/>
    <col min="9500" max="9500" width="71.7109375" style="2" customWidth="1"/>
    <col min="9501" max="9730" width="9.140625" style="2"/>
    <col min="9731" max="9731" width="7.42578125" style="2" customWidth="1"/>
    <col min="9732" max="9735" width="14" style="2" customWidth="1"/>
    <col min="9736" max="9737" width="8.42578125" style="2" customWidth="1"/>
    <col min="9738" max="9743" width="9.140625" style="2"/>
    <col min="9744" max="9744" width="10.140625" style="2" bestFit="1" customWidth="1"/>
    <col min="9745" max="9746" width="9.140625" style="2"/>
    <col min="9747" max="9747" width="6.7109375" style="2" customWidth="1"/>
    <col min="9748" max="9748" width="8.42578125" style="2" customWidth="1"/>
    <col min="9749" max="9755" width="14.42578125" style="2" customWidth="1"/>
    <col min="9756" max="9756" width="71.7109375" style="2" customWidth="1"/>
    <col min="9757" max="9986" width="9.140625" style="2"/>
    <col min="9987" max="9987" width="7.42578125" style="2" customWidth="1"/>
    <col min="9988" max="9991" width="14" style="2" customWidth="1"/>
    <col min="9992" max="9993" width="8.42578125" style="2" customWidth="1"/>
    <col min="9994" max="9999" width="9.140625" style="2"/>
    <col min="10000" max="10000" width="10.140625" style="2" bestFit="1" customWidth="1"/>
    <col min="10001" max="10002" width="9.140625" style="2"/>
    <col min="10003" max="10003" width="6.7109375" style="2" customWidth="1"/>
    <col min="10004" max="10004" width="8.42578125" style="2" customWidth="1"/>
    <col min="10005" max="10011" width="14.42578125" style="2" customWidth="1"/>
    <col min="10012" max="10012" width="71.7109375" style="2" customWidth="1"/>
    <col min="10013" max="10242" width="9.140625" style="2"/>
    <col min="10243" max="10243" width="7.42578125" style="2" customWidth="1"/>
    <col min="10244" max="10247" width="14" style="2" customWidth="1"/>
    <col min="10248" max="10249" width="8.42578125" style="2" customWidth="1"/>
    <col min="10250" max="10255" width="9.140625" style="2"/>
    <col min="10256" max="10256" width="10.140625" style="2" bestFit="1" customWidth="1"/>
    <col min="10257" max="10258" width="9.140625" style="2"/>
    <col min="10259" max="10259" width="6.7109375" style="2" customWidth="1"/>
    <col min="10260" max="10260" width="8.42578125" style="2" customWidth="1"/>
    <col min="10261" max="10267" width="14.42578125" style="2" customWidth="1"/>
    <col min="10268" max="10268" width="71.7109375" style="2" customWidth="1"/>
    <col min="10269" max="10498" width="9.140625" style="2"/>
    <col min="10499" max="10499" width="7.42578125" style="2" customWidth="1"/>
    <col min="10500" max="10503" width="14" style="2" customWidth="1"/>
    <col min="10504" max="10505" width="8.42578125" style="2" customWidth="1"/>
    <col min="10506" max="10511" width="9.140625" style="2"/>
    <col min="10512" max="10512" width="10.140625" style="2" bestFit="1" customWidth="1"/>
    <col min="10513" max="10514" width="9.140625" style="2"/>
    <col min="10515" max="10515" width="6.7109375" style="2" customWidth="1"/>
    <col min="10516" max="10516" width="8.42578125" style="2" customWidth="1"/>
    <col min="10517" max="10523" width="14.42578125" style="2" customWidth="1"/>
    <col min="10524" max="10524" width="71.7109375" style="2" customWidth="1"/>
    <col min="10525" max="10754" width="9.140625" style="2"/>
    <col min="10755" max="10755" width="7.42578125" style="2" customWidth="1"/>
    <col min="10756" max="10759" width="14" style="2" customWidth="1"/>
    <col min="10760" max="10761" width="8.42578125" style="2" customWidth="1"/>
    <col min="10762" max="10767" width="9.140625" style="2"/>
    <col min="10768" max="10768" width="10.140625" style="2" bestFit="1" customWidth="1"/>
    <col min="10769" max="10770" width="9.140625" style="2"/>
    <col min="10771" max="10771" width="6.7109375" style="2" customWidth="1"/>
    <col min="10772" max="10772" width="8.42578125" style="2" customWidth="1"/>
    <col min="10773" max="10779" width="14.42578125" style="2" customWidth="1"/>
    <col min="10780" max="10780" width="71.7109375" style="2" customWidth="1"/>
    <col min="10781" max="11010" width="9.140625" style="2"/>
    <col min="11011" max="11011" width="7.42578125" style="2" customWidth="1"/>
    <col min="11012" max="11015" width="14" style="2" customWidth="1"/>
    <col min="11016" max="11017" width="8.42578125" style="2" customWidth="1"/>
    <col min="11018" max="11023" width="9.140625" style="2"/>
    <col min="11024" max="11024" width="10.140625" style="2" bestFit="1" customWidth="1"/>
    <col min="11025" max="11026" width="9.140625" style="2"/>
    <col min="11027" max="11027" width="6.7109375" style="2" customWidth="1"/>
    <col min="11028" max="11028" width="8.42578125" style="2" customWidth="1"/>
    <col min="11029" max="11035" width="14.42578125" style="2" customWidth="1"/>
    <col min="11036" max="11036" width="71.7109375" style="2" customWidth="1"/>
    <col min="11037" max="11266" width="9.140625" style="2"/>
    <col min="11267" max="11267" width="7.42578125" style="2" customWidth="1"/>
    <col min="11268" max="11271" width="14" style="2" customWidth="1"/>
    <col min="11272" max="11273" width="8.42578125" style="2" customWidth="1"/>
    <col min="11274" max="11279" width="9.140625" style="2"/>
    <col min="11280" max="11280" width="10.140625" style="2" bestFit="1" customWidth="1"/>
    <col min="11281" max="11282" width="9.140625" style="2"/>
    <col min="11283" max="11283" width="6.7109375" style="2" customWidth="1"/>
    <col min="11284" max="11284" width="8.42578125" style="2" customWidth="1"/>
    <col min="11285" max="11291" width="14.42578125" style="2" customWidth="1"/>
    <col min="11292" max="11292" width="71.7109375" style="2" customWidth="1"/>
    <col min="11293" max="11522" width="9.140625" style="2"/>
    <col min="11523" max="11523" width="7.42578125" style="2" customWidth="1"/>
    <col min="11524" max="11527" width="14" style="2" customWidth="1"/>
    <col min="11528" max="11529" width="8.42578125" style="2" customWidth="1"/>
    <col min="11530" max="11535" width="9.140625" style="2"/>
    <col min="11536" max="11536" width="10.140625" style="2" bestFit="1" customWidth="1"/>
    <col min="11537" max="11538" width="9.140625" style="2"/>
    <col min="11539" max="11539" width="6.7109375" style="2" customWidth="1"/>
    <col min="11540" max="11540" width="8.42578125" style="2" customWidth="1"/>
    <col min="11541" max="11547" width="14.42578125" style="2" customWidth="1"/>
    <col min="11548" max="11548" width="71.7109375" style="2" customWidth="1"/>
    <col min="11549" max="11778" width="9.140625" style="2"/>
    <col min="11779" max="11779" width="7.42578125" style="2" customWidth="1"/>
    <col min="11780" max="11783" width="14" style="2" customWidth="1"/>
    <col min="11784" max="11785" width="8.42578125" style="2" customWidth="1"/>
    <col min="11786" max="11791" width="9.140625" style="2"/>
    <col min="11792" max="11792" width="10.140625" style="2" bestFit="1" customWidth="1"/>
    <col min="11793" max="11794" width="9.140625" style="2"/>
    <col min="11795" max="11795" width="6.7109375" style="2" customWidth="1"/>
    <col min="11796" max="11796" width="8.42578125" style="2" customWidth="1"/>
    <col min="11797" max="11803" width="14.42578125" style="2" customWidth="1"/>
    <col min="11804" max="11804" width="71.7109375" style="2" customWidth="1"/>
    <col min="11805" max="12034" width="9.140625" style="2"/>
    <col min="12035" max="12035" width="7.42578125" style="2" customWidth="1"/>
    <col min="12036" max="12039" width="14" style="2" customWidth="1"/>
    <col min="12040" max="12041" width="8.42578125" style="2" customWidth="1"/>
    <col min="12042" max="12047" width="9.140625" style="2"/>
    <col min="12048" max="12048" width="10.140625" style="2" bestFit="1" customWidth="1"/>
    <col min="12049" max="12050" width="9.140625" style="2"/>
    <col min="12051" max="12051" width="6.7109375" style="2" customWidth="1"/>
    <col min="12052" max="12052" width="8.42578125" style="2" customWidth="1"/>
    <col min="12053" max="12059" width="14.42578125" style="2" customWidth="1"/>
    <col min="12060" max="12060" width="71.7109375" style="2" customWidth="1"/>
    <col min="12061" max="12290" width="9.140625" style="2"/>
    <col min="12291" max="12291" width="7.42578125" style="2" customWidth="1"/>
    <col min="12292" max="12295" width="14" style="2" customWidth="1"/>
    <col min="12296" max="12297" width="8.42578125" style="2" customWidth="1"/>
    <col min="12298" max="12303" width="9.140625" style="2"/>
    <col min="12304" max="12304" width="10.140625" style="2" bestFit="1" customWidth="1"/>
    <col min="12305" max="12306" width="9.140625" style="2"/>
    <col min="12307" max="12307" width="6.7109375" style="2" customWidth="1"/>
    <col min="12308" max="12308" width="8.42578125" style="2" customWidth="1"/>
    <col min="12309" max="12315" width="14.42578125" style="2" customWidth="1"/>
    <col min="12316" max="12316" width="71.7109375" style="2" customWidth="1"/>
    <col min="12317" max="12546" width="9.140625" style="2"/>
    <col min="12547" max="12547" width="7.42578125" style="2" customWidth="1"/>
    <col min="12548" max="12551" width="14" style="2" customWidth="1"/>
    <col min="12552" max="12553" width="8.42578125" style="2" customWidth="1"/>
    <col min="12554" max="12559" width="9.140625" style="2"/>
    <col min="12560" max="12560" width="10.140625" style="2" bestFit="1" customWidth="1"/>
    <col min="12561" max="12562" width="9.140625" style="2"/>
    <col min="12563" max="12563" width="6.7109375" style="2" customWidth="1"/>
    <col min="12564" max="12564" width="8.42578125" style="2" customWidth="1"/>
    <col min="12565" max="12571" width="14.42578125" style="2" customWidth="1"/>
    <col min="12572" max="12572" width="71.7109375" style="2" customWidth="1"/>
    <col min="12573" max="12802" width="9.140625" style="2"/>
    <col min="12803" max="12803" width="7.42578125" style="2" customWidth="1"/>
    <col min="12804" max="12807" width="14" style="2" customWidth="1"/>
    <col min="12808" max="12809" width="8.42578125" style="2" customWidth="1"/>
    <col min="12810" max="12815" width="9.140625" style="2"/>
    <col min="12816" max="12816" width="10.140625" style="2" bestFit="1" customWidth="1"/>
    <col min="12817" max="12818" width="9.140625" style="2"/>
    <col min="12819" max="12819" width="6.7109375" style="2" customWidth="1"/>
    <col min="12820" max="12820" width="8.42578125" style="2" customWidth="1"/>
    <col min="12821" max="12827" width="14.42578125" style="2" customWidth="1"/>
    <col min="12828" max="12828" width="71.7109375" style="2" customWidth="1"/>
    <col min="12829" max="13058" width="9.140625" style="2"/>
    <col min="13059" max="13059" width="7.42578125" style="2" customWidth="1"/>
    <col min="13060" max="13063" width="14" style="2" customWidth="1"/>
    <col min="13064" max="13065" width="8.42578125" style="2" customWidth="1"/>
    <col min="13066" max="13071" width="9.140625" style="2"/>
    <col min="13072" max="13072" width="10.140625" style="2" bestFit="1" customWidth="1"/>
    <col min="13073" max="13074" width="9.140625" style="2"/>
    <col min="13075" max="13075" width="6.7109375" style="2" customWidth="1"/>
    <col min="13076" max="13076" width="8.42578125" style="2" customWidth="1"/>
    <col min="13077" max="13083" width="14.42578125" style="2" customWidth="1"/>
    <col min="13084" max="13084" width="71.7109375" style="2" customWidth="1"/>
    <col min="13085" max="13314" width="9.140625" style="2"/>
    <col min="13315" max="13315" width="7.42578125" style="2" customWidth="1"/>
    <col min="13316" max="13319" width="14" style="2" customWidth="1"/>
    <col min="13320" max="13321" width="8.42578125" style="2" customWidth="1"/>
    <col min="13322" max="13327" width="9.140625" style="2"/>
    <col min="13328" max="13328" width="10.140625" style="2" bestFit="1" customWidth="1"/>
    <col min="13329" max="13330" width="9.140625" style="2"/>
    <col min="13331" max="13331" width="6.7109375" style="2" customWidth="1"/>
    <col min="13332" max="13332" width="8.42578125" style="2" customWidth="1"/>
    <col min="13333" max="13339" width="14.42578125" style="2" customWidth="1"/>
    <col min="13340" max="13340" width="71.7109375" style="2" customWidth="1"/>
    <col min="13341" max="13570" width="9.140625" style="2"/>
    <col min="13571" max="13571" width="7.42578125" style="2" customWidth="1"/>
    <col min="13572" max="13575" width="14" style="2" customWidth="1"/>
    <col min="13576" max="13577" width="8.42578125" style="2" customWidth="1"/>
    <col min="13578" max="13583" width="9.140625" style="2"/>
    <col min="13584" max="13584" width="10.140625" style="2" bestFit="1" customWidth="1"/>
    <col min="13585" max="13586" width="9.140625" style="2"/>
    <col min="13587" max="13587" width="6.7109375" style="2" customWidth="1"/>
    <col min="13588" max="13588" width="8.42578125" style="2" customWidth="1"/>
    <col min="13589" max="13595" width="14.42578125" style="2" customWidth="1"/>
    <col min="13596" max="13596" width="71.7109375" style="2" customWidth="1"/>
    <col min="13597" max="13826" width="9.140625" style="2"/>
    <col min="13827" max="13827" width="7.42578125" style="2" customWidth="1"/>
    <col min="13828" max="13831" width="14" style="2" customWidth="1"/>
    <col min="13832" max="13833" width="8.42578125" style="2" customWidth="1"/>
    <col min="13834" max="13839" width="9.140625" style="2"/>
    <col min="13840" max="13840" width="10.140625" style="2" bestFit="1" customWidth="1"/>
    <col min="13841" max="13842" width="9.140625" style="2"/>
    <col min="13843" max="13843" width="6.7109375" style="2" customWidth="1"/>
    <col min="13844" max="13844" width="8.42578125" style="2" customWidth="1"/>
    <col min="13845" max="13851" width="14.42578125" style="2" customWidth="1"/>
    <col min="13852" max="13852" width="71.7109375" style="2" customWidth="1"/>
    <col min="13853" max="14082" width="9.140625" style="2"/>
    <col min="14083" max="14083" width="7.42578125" style="2" customWidth="1"/>
    <col min="14084" max="14087" width="14" style="2" customWidth="1"/>
    <col min="14088" max="14089" width="8.42578125" style="2" customWidth="1"/>
    <col min="14090" max="14095" width="9.140625" style="2"/>
    <col min="14096" max="14096" width="10.140625" style="2" bestFit="1" customWidth="1"/>
    <col min="14097" max="14098" width="9.140625" style="2"/>
    <col min="14099" max="14099" width="6.7109375" style="2" customWidth="1"/>
    <col min="14100" max="14100" width="8.42578125" style="2" customWidth="1"/>
    <col min="14101" max="14107" width="14.42578125" style="2" customWidth="1"/>
    <col min="14108" max="14108" width="71.7109375" style="2" customWidth="1"/>
    <col min="14109" max="14338" width="9.140625" style="2"/>
    <col min="14339" max="14339" width="7.42578125" style="2" customWidth="1"/>
    <col min="14340" max="14343" width="14" style="2" customWidth="1"/>
    <col min="14344" max="14345" width="8.42578125" style="2" customWidth="1"/>
    <col min="14346" max="14351" width="9.140625" style="2"/>
    <col min="14352" max="14352" width="10.140625" style="2" bestFit="1" customWidth="1"/>
    <col min="14353" max="14354" width="9.140625" style="2"/>
    <col min="14355" max="14355" width="6.7109375" style="2" customWidth="1"/>
    <col min="14356" max="14356" width="8.42578125" style="2" customWidth="1"/>
    <col min="14357" max="14363" width="14.42578125" style="2" customWidth="1"/>
    <col min="14364" max="14364" width="71.7109375" style="2" customWidth="1"/>
    <col min="14365" max="14594" width="9.140625" style="2"/>
    <col min="14595" max="14595" width="7.42578125" style="2" customWidth="1"/>
    <col min="14596" max="14599" width="14" style="2" customWidth="1"/>
    <col min="14600" max="14601" width="8.42578125" style="2" customWidth="1"/>
    <col min="14602" max="14607" width="9.140625" style="2"/>
    <col min="14608" max="14608" width="10.140625" style="2" bestFit="1" customWidth="1"/>
    <col min="14609" max="14610" width="9.140625" style="2"/>
    <col min="14611" max="14611" width="6.7109375" style="2" customWidth="1"/>
    <col min="14612" max="14612" width="8.42578125" style="2" customWidth="1"/>
    <col min="14613" max="14619" width="14.42578125" style="2" customWidth="1"/>
    <col min="14620" max="14620" width="71.7109375" style="2" customWidth="1"/>
    <col min="14621" max="14850" width="9.140625" style="2"/>
    <col min="14851" max="14851" width="7.42578125" style="2" customWidth="1"/>
    <col min="14852" max="14855" width="14" style="2" customWidth="1"/>
    <col min="14856" max="14857" width="8.42578125" style="2" customWidth="1"/>
    <col min="14858" max="14863" width="9.140625" style="2"/>
    <col min="14864" max="14864" width="10.140625" style="2" bestFit="1" customWidth="1"/>
    <col min="14865" max="14866" width="9.140625" style="2"/>
    <col min="14867" max="14867" width="6.7109375" style="2" customWidth="1"/>
    <col min="14868" max="14868" width="8.42578125" style="2" customWidth="1"/>
    <col min="14869" max="14875" width="14.42578125" style="2" customWidth="1"/>
    <col min="14876" max="14876" width="71.7109375" style="2" customWidth="1"/>
    <col min="14877" max="15106" width="9.140625" style="2"/>
    <col min="15107" max="15107" width="7.42578125" style="2" customWidth="1"/>
    <col min="15108" max="15111" width="14" style="2" customWidth="1"/>
    <col min="15112" max="15113" width="8.42578125" style="2" customWidth="1"/>
    <col min="15114" max="15119" width="9.140625" style="2"/>
    <col min="15120" max="15120" width="10.140625" style="2" bestFit="1" customWidth="1"/>
    <col min="15121" max="15122" width="9.140625" style="2"/>
    <col min="15123" max="15123" width="6.7109375" style="2" customWidth="1"/>
    <col min="15124" max="15124" width="8.42578125" style="2" customWidth="1"/>
    <col min="15125" max="15131" width="14.42578125" style="2" customWidth="1"/>
    <col min="15132" max="15132" width="71.7109375" style="2" customWidth="1"/>
    <col min="15133" max="15362" width="9.140625" style="2"/>
    <col min="15363" max="15363" width="7.42578125" style="2" customWidth="1"/>
    <col min="15364" max="15367" width="14" style="2" customWidth="1"/>
    <col min="15368" max="15369" width="8.42578125" style="2" customWidth="1"/>
    <col min="15370" max="15375" width="9.140625" style="2"/>
    <col min="15376" max="15376" width="10.140625" style="2" bestFit="1" customWidth="1"/>
    <col min="15377" max="15378" width="9.140625" style="2"/>
    <col min="15379" max="15379" width="6.7109375" style="2" customWidth="1"/>
    <col min="15380" max="15380" width="8.42578125" style="2" customWidth="1"/>
    <col min="15381" max="15387" width="14.42578125" style="2" customWidth="1"/>
    <col min="15388" max="15388" width="71.7109375" style="2" customWidth="1"/>
    <col min="15389" max="15618" width="9.140625" style="2"/>
    <col min="15619" max="15619" width="7.42578125" style="2" customWidth="1"/>
    <col min="15620" max="15623" width="14" style="2" customWidth="1"/>
    <col min="15624" max="15625" width="8.42578125" style="2" customWidth="1"/>
    <col min="15626" max="15631" width="9.140625" style="2"/>
    <col min="15632" max="15632" width="10.140625" style="2" bestFit="1" customWidth="1"/>
    <col min="15633" max="15634" width="9.140625" style="2"/>
    <col min="15635" max="15635" width="6.7109375" style="2" customWidth="1"/>
    <col min="15636" max="15636" width="8.42578125" style="2" customWidth="1"/>
    <col min="15637" max="15643" width="14.42578125" style="2" customWidth="1"/>
    <col min="15644" max="15644" width="71.7109375" style="2" customWidth="1"/>
    <col min="15645" max="15874" width="9.140625" style="2"/>
    <col min="15875" max="15875" width="7.42578125" style="2" customWidth="1"/>
    <col min="15876" max="15879" width="14" style="2" customWidth="1"/>
    <col min="15880" max="15881" width="8.42578125" style="2" customWidth="1"/>
    <col min="15882" max="15887" width="9.140625" style="2"/>
    <col min="15888" max="15888" width="10.140625" style="2" bestFit="1" customWidth="1"/>
    <col min="15889" max="15890" width="9.140625" style="2"/>
    <col min="15891" max="15891" width="6.7109375" style="2" customWidth="1"/>
    <col min="15892" max="15892" width="8.42578125" style="2" customWidth="1"/>
    <col min="15893" max="15899" width="14.42578125" style="2" customWidth="1"/>
    <col min="15900" max="15900" width="71.7109375" style="2" customWidth="1"/>
    <col min="15901" max="16130" width="9.140625" style="2"/>
    <col min="16131" max="16131" width="7.42578125" style="2" customWidth="1"/>
    <col min="16132" max="16135" width="14" style="2" customWidth="1"/>
    <col min="16136" max="16137" width="8.42578125" style="2" customWidth="1"/>
    <col min="16138" max="16143" width="9.140625" style="2"/>
    <col min="16144" max="16144" width="10.140625" style="2" bestFit="1" customWidth="1"/>
    <col min="16145" max="16146" width="9.140625" style="2"/>
    <col min="16147" max="16147" width="6.7109375" style="2" customWidth="1"/>
    <col min="16148" max="16148" width="8.42578125" style="2" customWidth="1"/>
    <col min="16149" max="16155" width="14.42578125" style="2" customWidth="1"/>
    <col min="16156" max="16156" width="71.7109375" style="2" customWidth="1"/>
    <col min="16157" max="16384" width="9.140625" style="2"/>
  </cols>
  <sheetData>
    <row r="1" spans="1:28" s="12" customFormat="1" ht="15.75" x14ac:dyDescent="0.25">
      <c r="A1" s="408" t="s">
        <v>137</v>
      </c>
      <c r="B1" s="408"/>
      <c r="C1" s="408"/>
      <c r="D1" s="408"/>
      <c r="E1" s="408"/>
      <c r="F1" s="408"/>
      <c r="G1" s="408"/>
      <c r="H1" s="408"/>
      <c r="I1" s="408"/>
      <c r="J1" s="408"/>
      <c r="K1" s="408"/>
      <c r="L1" s="408"/>
      <c r="M1" s="408"/>
      <c r="N1" s="408"/>
      <c r="O1" s="408"/>
      <c r="P1" s="408"/>
      <c r="Q1" s="408"/>
      <c r="R1" s="408"/>
      <c r="S1" s="408"/>
    </row>
    <row r="2" spans="1:28" s="12" customFormat="1" ht="49.5" customHeight="1" x14ac:dyDescent="0.25">
      <c r="A2" s="409" t="s">
        <v>136</v>
      </c>
      <c r="B2" s="409"/>
      <c r="C2" s="409"/>
      <c r="D2" s="409"/>
      <c r="E2" s="409"/>
      <c r="F2" s="409"/>
      <c r="G2" s="409"/>
      <c r="H2" s="409"/>
      <c r="I2" s="409"/>
      <c r="J2" s="409"/>
      <c r="K2" s="409"/>
      <c r="L2" s="409"/>
      <c r="M2" s="409"/>
      <c r="N2" s="409"/>
      <c r="O2" s="409"/>
      <c r="P2" s="409"/>
      <c r="Q2" s="409"/>
      <c r="R2" s="409"/>
      <c r="S2" s="409"/>
      <c r="T2" s="11"/>
    </row>
    <row r="3" spans="1:28" ht="15.75" thickBot="1" x14ac:dyDescent="0.3"/>
    <row r="4" spans="1:28" s="1" customFormat="1" ht="27" customHeight="1" thickTop="1" x14ac:dyDescent="0.25">
      <c r="A4" s="399" t="s">
        <v>58</v>
      </c>
      <c r="B4" s="402" t="s">
        <v>59</v>
      </c>
      <c r="C4" s="392" t="s">
        <v>8</v>
      </c>
      <c r="D4" s="392" t="s">
        <v>60</v>
      </c>
      <c r="E4" s="392" t="s">
        <v>138</v>
      </c>
      <c r="F4" s="392" t="s">
        <v>62</v>
      </c>
      <c r="G4" s="392" t="s">
        <v>63</v>
      </c>
      <c r="H4" s="392" t="s">
        <v>64</v>
      </c>
      <c r="I4" s="392"/>
      <c r="J4" s="392"/>
      <c r="K4" s="392"/>
      <c r="L4" s="392"/>
      <c r="M4" s="392"/>
      <c r="N4" s="392" t="s">
        <v>122</v>
      </c>
      <c r="O4" s="392" t="s">
        <v>65</v>
      </c>
      <c r="P4" s="392" t="s">
        <v>66</v>
      </c>
      <c r="Q4" s="392" t="s">
        <v>67</v>
      </c>
      <c r="R4" s="392" t="s">
        <v>68</v>
      </c>
      <c r="S4" s="393" t="s">
        <v>126</v>
      </c>
      <c r="T4" s="407"/>
      <c r="U4" s="407"/>
      <c r="V4" s="406"/>
    </row>
    <row r="5" spans="1:28" s="1" customFormat="1" ht="18" customHeight="1" x14ac:dyDescent="0.25">
      <c r="A5" s="400"/>
      <c r="B5" s="403"/>
      <c r="C5" s="393"/>
      <c r="D5" s="393"/>
      <c r="E5" s="393"/>
      <c r="F5" s="393"/>
      <c r="G5" s="393"/>
      <c r="H5" s="393" t="s">
        <v>69</v>
      </c>
      <c r="I5" s="393" t="s">
        <v>70</v>
      </c>
      <c r="J5" s="393"/>
      <c r="K5" s="393" t="s">
        <v>71</v>
      </c>
      <c r="L5" s="396" t="s">
        <v>70</v>
      </c>
      <c r="M5" s="396"/>
      <c r="N5" s="393"/>
      <c r="O5" s="393"/>
      <c r="P5" s="393"/>
      <c r="Q5" s="393"/>
      <c r="R5" s="393"/>
      <c r="S5" s="393"/>
      <c r="T5" s="407"/>
      <c r="U5" s="407"/>
      <c r="V5" s="406"/>
    </row>
    <row r="6" spans="1:28" s="1" customFormat="1" ht="105.75" customHeight="1" x14ac:dyDescent="0.25">
      <c r="A6" s="401"/>
      <c r="B6" s="404"/>
      <c r="C6" s="393"/>
      <c r="D6" s="393"/>
      <c r="E6" s="393"/>
      <c r="F6" s="393"/>
      <c r="G6" s="393"/>
      <c r="H6" s="393"/>
      <c r="I6" s="191" t="s">
        <v>71</v>
      </c>
      <c r="J6" s="191" t="s">
        <v>72</v>
      </c>
      <c r="K6" s="393"/>
      <c r="L6" s="192" t="s">
        <v>123</v>
      </c>
      <c r="M6" s="192" t="s">
        <v>124</v>
      </c>
      <c r="N6" s="393"/>
      <c r="O6" s="393"/>
      <c r="P6" s="393"/>
      <c r="Q6" s="393"/>
      <c r="R6" s="393"/>
      <c r="S6" s="393"/>
      <c r="T6" s="407"/>
      <c r="U6" s="407"/>
      <c r="V6" s="406"/>
    </row>
    <row r="7" spans="1:28" ht="15" customHeight="1" x14ac:dyDescent="0.25">
      <c r="A7" s="206">
        <v>1</v>
      </c>
      <c r="B7" s="193">
        <f>+A7+1</f>
        <v>2</v>
      </c>
      <c r="C7" s="193">
        <f t="shared" ref="C7:S7" si="0">+B7+1</f>
        <v>3</v>
      </c>
      <c r="D7" s="193">
        <f t="shared" si="0"/>
        <v>4</v>
      </c>
      <c r="E7" s="193">
        <f>+D7+1</f>
        <v>5</v>
      </c>
      <c r="F7" s="193">
        <f t="shared" si="0"/>
        <v>6</v>
      </c>
      <c r="G7" s="193">
        <f t="shared" si="0"/>
        <v>7</v>
      </c>
      <c r="H7" s="193">
        <f t="shared" si="0"/>
        <v>8</v>
      </c>
      <c r="I7" s="193">
        <f t="shared" si="0"/>
        <v>9</v>
      </c>
      <c r="J7" s="193">
        <f t="shared" si="0"/>
        <v>10</v>
      </c>
      <c r="K7" s="193">
        <f t="shared" si="0"/>
        <v>11</v>
      </c>
      <c r="L7" s="193">
        <f t="shared" si="0"/>
        <v>12</v>
      </c>
      <c r="M7" s="193">
        <f t="shared" si="0"/>
        <v>13</v>
      </c>
      <c r="N7" s="193">
        <f t="shared" si="0"/>
        <v>14</v>
      </c>
      <c r="O7" s="193">
        <f t="shared" si="0"/>
        <v>15</v>
      </c>
      <c r="P7" s="193">
        <f t="shared" si="0"/>
        <v>16</v>
      </c>
      <c r="Q7" s="193">
        <f t="shared" si="0"/>
        <v>17</v>
      </c>
      <c r="R7" s="193">
        <f t="shared" si="0"/>
        <v>18</v>
      </c>
      <c r="S7" s="193">
        <f t="shared" si="0"/>
        <v>19</v>
      </c>
      <c r="T7" s="207"/>
      <c r="U7" s="193"/>
      <c r="V7" s="193"/>
    </row>
    <row r="8" spans="1:28" s="211" customFormat="1" ht="45" customHeight="1" x14ac:dyDescent="0.25">
      <c r="A8" s="194">
        <v>1</v>
      </c>
      <c r="B8" s="8" t="str">
        <f>+'Ng Vũ Mạnh(5-23+86)'!F9</f>
        <v>Nguyễn Vũ Mạnh - Nguyễn Thị Luân</v>
      </c>
      <c r="C8" s="34" t="str">
        <f>+'Ng Vũ Mạnh(5-23+86)'!C12</f>
        <v>001090006511</v>
      </c>
      <c r="D8" s="205" t="str">
        <f>+'Ng Vũ Mạnh(5-23+86)'!C10</f>
        <v>Thôn Thanh Trì - Xã Phú Nghĩa - TP Hà Nội</v>
      </c>
      <c r="E8" s="34"/>
      <c r="F8" s="188" t="str">
        <f>+'Ng Vũ Mạnh(5-23+86)'!F19</f>
        <v>05</v>
      </c>
      <c r="G8" s="188" t="str">
        <f>+'Ng Vũ Mạnh(5-23+86)'!C19</f>
        <v>23+86</v>
      </c>
      <c r="H8" s="190">
        <f>+'Ng Vũ Mạnh(5-23+86)'!C20</f>
        <v>491.8</v>
      </c>
      <c r="I8" s="190">
        <f>+'Ng Vũ Mạnh(5-23+86)'!C22</f>
        <v>70.5</v>
      </c>
      <c r="J8" s="190">
        <f>+H8-I8</f>
        <v>421.3</v>
      </c>
      <c r="K8" s="190">
        <f>I8</f>
        <v>70.5</v>
      </c>
      <c r="L8" s="190"/>
      <c r="M8" s="190">
        <f t="shared" ref="M8:M27" si="1">I8</f>
        <v>70.5</v>
      </c>
      <c r="N8" s="190" t="str">
        <f>+'Ng Vũ Mạnh(5-23+86)'!H26</f>
        <v>01</v>
      </c>
      <c r="O8" s="188" t="str">
        <f>+'Ng Vũ Mạnh(5-23+86)'!H27</f>
        <v>06</v>
      </c>
      <c r="P8" s="189">
        <f>+'Ng Vũ Mạnh(5-23+86)'!H34</f>
        <v>0</v>
      </c>
      <c r="Q8" s="189">
        <f>+'Ng Vũ Mạnh(5-23+86)'!H49</f>
        <v>0</v>
      </c>
      <c r="R8" s="189">
        <f>+'Ng Vũ Mạnh(5-23+86)'!H61</f>
        <v>0</v>
      </c>
      <c r="S8" s="189">
        <f>+SUM(P8:R8)</f>
        <v>0</v>
      </c>
      <c r="T8" s="208"/>
      <c r="U8" s="208"/>
      <c r="V8" s="209"/>
      <c r="W8" s="195"/>
      <c r="X8" s="9"/>
      <c r="Y8" s="16"/>
      <c r="Z8" s="210" t="e">
        <f>#REF!</f>
        <v>#REF!</v>
      </c>
      <c r="AA8" s="209" t="s">
        <v>79</v>
      </c>
      <c r="AB8" s="211" t="e">
        <f>#REF!</f>
        <v>#REF!</v>
      </c>
    </row>
    <row r="9" spans="1:28" s="211" customFormat="1" ht="45" customHeight="1" x14ac:dyDescent="0.25">
      <c r="A9" s="194">
        <f>+A8+1</f>
        <v>2</v>
      </c>
      <c r="B9" s="8" t="str">
        <f>+'Trần Cao Giới(5-43)'!F9</f>
        <v>Trần Cao Giới</v>
      </c>
      <c r="C9" s="34" t="str">
        <f>+'Trần Cao Giới(5-43)'!C12</f>
        <v>001062025102</v>
      </c>
      <c r="D9" s="205" t="str">
        <f>+'Trần Cao Giới(5-43)'!C10</f>
        <v>Thôn Phố Gốt- Xã Phú Nghĩa - TP Hà Nội</v>
      </c>
      <c r="E9" s="34"/>
      <c r="F9" s="188" t="str">
        <f>+'Trần Cao Giới(5-43)'!F19</f>
        <v>05</v>
      </c>
      <c r="G9" s="188">
        <f>+'Trần Cao Giới(5-43)'!C19</f>
        <v>43</v>
      </c>
      <c r="H9" s="190">
        <f>+'Trần Cao Giới(5-43)'!C20</f>
        <v>55.5</v>
      </c>
      <c r="I9" s="190">
        <f>+'Trần Cao Giới(5-43)'!C22</f>
        <v>46.1</v>
      </c>
      <c r="J9" s="190">
        <f>+H9-I9</f>
        <v>9.3999999999999986</v>
      </c>
      <c r="K9" s="190">
        <f t="shared" ref="K9:K27" si="2">I9</f>
        <v>46.1</v>
      </c>
      <c r="L9" s="190"/>
      <c r="M9" s="190">
        <f t="shared" si="1"/>
        <v>46.1</v>
      </c>
      <c r="N9" s="190" t="str">
        <f>+'Trần Cao Giới(5-43)'!H26</f>
        <v>01</v>
      </c>
      <c r="O9" s="188" t="str">
        <f>+'Trần Cao Giới(5-43)'!H27</f>
        <v>04</v>
      </c>
      <c r="P9" s="189">
        <f>+'Trần Cao Giới(5-43)'!H34</f>
        <v>0</v>
      </c>
      <c r="Q9" s="188">
        <f>+'Trần Cao Giới(5-43)'!H49</f>
        <v>0</v>
      </c>
      <c r="R9" s="188">
        <f>+'Trần Cao Giới(5-43)'!H66</f>
        <v>0</v>
      </c>
      <c r="S9" s="189">
        <f t="shared" ref="S9:S28" si="3">+SUM(P9:R9)</f>
        <v>0</v>
      </c>
      <c r="T9" s="212"/>
      <c r="U9" s="212"/>
      <c r="W9" s="196"/>
      <c r="X9" s="9"/>
      <c r="Y9" s="16">
        <f>SUM(R9:X9)</f>
        <v>0</v>
      </c>
      <c r="Z9" s="213" t="e">
        <f>#REF!</f>
        <v>#REF!</v>
      </c>
      <c r="AA9" s="209" t="s">
        <v>79</v>
      </c>
      <c r="AB9" s="211" t="e">
        <f>#REF!</f>
        <v>#REF!</v>
      </c>
    </row>
    <row r="10" spans="1:28" s="211" customFormat="1" ht="45" customHeight="1" x14ac:dyDescent="0.25">
      <c r="A10" s="194">
        <f t="shared" ref="A10:A27" si="4">+A9+1</f>
        <v>3</v>
      </c>
      <c r="B10" s="8" t="str">
        <f>+'Ng Thị Hòa(5-14)'!F9</f>
        <v xml:space="preserve">Đại diện hộ bà Nguyễn Thị Hòa </v>
      </c>
      <c r="C10" s="34" t="str">
        <f>+'Ng Thị Hòa(5-14)'!C12</f>
        <v>001166020878</v>
      </c>
      <c r="D10" s="205" t="str">
        <f>+'Ng Thị Hòa(5-14)'!C10</f>
        <v>Thôn Phố Gốt- xã Phú Nghĩa - TP Hà Nội</v>
      </c>
      <c r="E10" s="34"/>
      <c r="F10" s="188" t="str">
        <f>+'Ng Thị Hòa(5-14)'!F19</f>
        <v>05</v>
      </c>
      <c r="G10" s="188">
        <f>+'Ng Thị Hòa(5-14)'!C19</f>
        <v>14</v>
      </c>
      <c r="H10" s="190">
        <f>+'Ng Thị Hòa(5-14)'!C20</f>
        <v>265.7</v>
      </c>
      <c r="I10" s="190">
        <f>+'Ng Thị Hòa(5-14)'!C22</f>
        <v>37.299999999999997</v>
      </c>
      <c r="J10" s="190">
        <f t="shared" ref="J10:J28" si="5">+H10-I10</f>
        <v>228.39999999999998</v>
      </c>
      <c r="K10" s="190">
        <f t="shared" si="2"/>
        <v>37.299999999999997</v>
      </c>
      <c r="L10" s="190"/>
      <c r="M10" s="190">
        <f t="shared" si="1"/>
        <v>37.299999999999997</v>
      </c>
      <c r="N10" s="190" t="str">
        <f>+'Ng Thị Hòa(5-14)'!H26</f>
        <v>01</v>
      </c>
      <c r="O10" s="188" t="str">
        <f>+'Ng Thị Hòa(5-14)'!H27</f>
        <v>02</v>
      </c>
      <c r="P10" s="189">
        <f>+'Ng Thị Hòa(5-14)'!H34</f>
        <v>0</v>
      </c>
      <c r="Q10" s="189">
        <f>+'Ng Thị Hòa(5-14)'!H49</f>
        <v>0</v>
      </c>
      <c r="R10" s="189">
        <f>+'Ng Thị Hòa(5-14)'!H59</f>
        <v>0</v>
      </c>
      <c r="S10" s="189">
        <f t="shared" si="3"/>
        <v>0</v>
      </c>
      <c r="T10" s="208"/>
      <c r="U10" s="208"/>
      <c r="V10" s="209"/>
      <c r="W10" s="195"/>
      <c r="X10" s="9"/>
      <c r="Y10" s="16"/>
      <c r="Z10" s="213" t="e">
        <f>#REF!</f>
        <v>#REF!</v>
      </c>
      <c r="AA10" s="209" t="s">
        <v>79</v>
      </c>
      <c r="AB10" s="211" t="e">
        <f>#REF!</f>
        <v>#REF!</v>
      </c>
    </row>
    <row r="11" spans="1:28" s="211" customFormat="1" ht="45" customHeight="1" x14ac:dyDescent="0.25">
      <c r="A11" s="194">
        <f t="shared" si="4"/>
        <v>4</v>
      </c>
      <c r="B11" s="8" t="str">
        <f>+'Ng Thị Hòa(5-68)'!F9</f>
        <v>Đại diện hộ bà Nguyễn Thị Hòa</v>
      </c>
      <c r="C11" s="34" t="str">
        <f>+'Ng Thị Hòa(5-68)'!C12</f>
        <v>001166020878</v>
      </c>
      <c r="D11" s="205" t="str">
        <f>+'Ng Thị Hòa(5-68)'!C10</f>
        <v>Thôn Phố Gốt- xã Phú Nghĩa - TP Hà Nội</v>
      </c>
      <c r="E11" s="34"/>
      <c r="F11" s="188" t="str">
        <f>+'Ng Thị Hòa(5-68)'!F19</f>
        <v>05</v>
      </c>
      <c r="G11" s="188">
        <f>+'Ng Thị Hòa(5-68)'!C19</f>
        <v>68</v>
      </c>
      <c r="H11" s="190">
        <f>+'Ng Thị Hòa(5-68)'!C20</f>
        <v>33.5</v>
      </c>
      <c r="I11" s="190">
        <f>+'Ng Thị Hòa(5-68)'!C22</f>
        <v>33.5</v>
      </c>
      <c r="J11" s="190">
        <f t="shared" si="5"/>
        <v>0</v>
      </c>
      <c r="K11" s="190">
        <f t="shared" si="2"/>
        <v>33.5</v>
      </c>
      <c r="L11" s="190"/>
      <c r="M11" s="190">
        <f t="shared" si="1"/>
        <v>33.5</v>
      </c>
      <c r="N11" s="190" t="str">
        <f>+'Ng Thị Hòa(5-68)'!H26</f>
        <v>01</v>
      </c>
      <c r="O11" s="188" t="str">
        <f>+'Ng Thị Hòa(5-68)'!H27</f>
        <v>02</v>
      </c>
      <c r="P11" s="189">
        <f>+'Ng Thị Hòa(5-68)'!H34</f>
        <v>0</v>
      </c>
      <c r="Q11" s="189">
        <f>+'Ng Thị Hòa(5-68)'!H49</f>
        <v>0</v>
      </c>
      <c r="R11" s="189">
        <f>+'Ng Thị Hòa(5-68)'!H55</f>
        <v>0</v>
      </c>
      <c r="S11" s="189">
        <f t="shared" si="3"/>
        <v>0</v>
      </c>
      <c r="T11" s="208"/>
      <c r="U11" s="208"/>
      <c r="W11" s="196"/>
      <c r="X11" s="9"/>
      <c r="Y11" s="16"/>
      <c r="Z11" s="213" t="e">
        <f>#REF!</f>
        <v>#REF!</v>
      </c>
      <c r="AA11" s="209" t="s">
        <v>79</v>
      </c>
      <c r="AB11" s="211" t="e">
        <f>#REF!</f>
        <v>#REF!</v>
      </c>
    </row>
    <row r="12" spans="1:28" s="211" customFormat="1" ht="45" customHeight="1" x14ac:dyDescent="0.25">
      <c r="A12" s="194">
        <f t="shared" si="4"/>
        <v>5</v>
      </c>
      <c r="B12" s="8" t="str">
        <f>+'Trần Đăng Định (4-53)'!F9</f>
        <v>Trần Đăng Định - Đỗ Thị Hạnh</v>
      </c>
      <c r="C12" s="34" t="str">
        <f>+'Trần Đăng Định (4-53)'!C12</f>
        <v>001081009370</v>
      </c>
      <c r="D12" s="205" t="str">
        <f>+'Trần Đăng Định (4-53)'!C10</f>
        <v>Thôn Thanh Trì - xã Phú Nghĩa - TP Hà Nội</v>
      </c>
      <c r="E12" s="34"/>
      <c r="F12" s="188" t="str">
        <f>+'Trần Đăng Định (4-53)'!F19</f>
        <v>04</v>
      </c>
      <c r="G12" s="188">
        <f>+'Trần Đăng Định (4-53)'!C19</f>
        <v>53</v>
      </c>
      <c r="H12" s="190">
        <f>+'Trần Đăng Định (4-53)'!C20</f>
        <v>92.6</v>
      </c>
      <c r="I12" s="190">
        <f>+'Trần Đăng Định (4-53)'!C22</f>
        <v>92.6</v>
      </c>
      <c r="J12" s="190">
        <f t="shared" si="5"/>
        <v>0</v>
      </c>
      <c r="K12" s="190">
        <f t="shared" si="2"/>
        <v>92.6</v>
      </c>
      <c r="L12" s="190"/>
      <c r="M12" s="190">
        <f t="shared" si="1"/>
        <v>92.6</v>
      </c>
      <c r="N12" s="190" t="str">
        <f>+'Trần Đăng Định (4-53)'!H26</f>
        <v>01</v>
      </c>
      <c r="O12" s="188" t="str">
        <f>+'Trần Đăng Định (4-53)'!H27</f>
        <v>04</v>
      </c>
      <c r="P12" s="189">
        <f>+'Trần Đăng Định (4-53)'!H34</f>
        <v>0</v>
      </c>
      <c r="Q12" s="188">
        <f>+'Trần Đăng Định (4-53)'!H49</f>
        <v>0</v>
      </c>
      <c r="R12" s="188">
        <f>+'Trần Đăng Định (4-53)'!H57</f>
        <v>0</v>
      </c>
      <c r="S12" s="189">
        <f t="shared" si="3"/>
        <v>0</v>
      </c>
      <c r="T12" s="212"/>
      <c r="U12" s="212"/>
      <c r="W12" s="196"/>
      <c r="X12" s="9"/>
      <c r="Y12" s="16"/>
      <c r="Z12" s="213" t="e">
        <f>#REF!</f>
        <v>#REF!</v>
      </c>
      <c r="AA12" s="209" t="s">
        <v>79</v>
      </c>
      <c r="AB12" s="211" t="e">
        <f>#REF!</f>
        <v>#REF!</v>
      </c>
    </row>
    <row r="13" spans="1:28" s="211" customFormat="1" ht="45" customHeight="1" x14ac:dyDescent="0.25">
      <c r="A13" s="194">
        <f t="shared" si="4"/>
        <v>6</v>
      </c>
      <c r="B13" s="8" t="str">
        <f>+'Đỗ Thị Ngọc (5-7)'!F9</f>
        <v>Đỗ Thị Ngọc</v>
      </c>
      <c r="C13" s="34" t="str">
        <f>+'Đỗ Thị Ngọc (5-7)'!C12</f>
        <v>001166010279</v>
      </c>
      <c r="D13" s="205" t="str">
        <f>+'Đỗ Thị Ngọc (5-7)'!C10</f>
        <v>TDP Xuân Hà - xã Xuân Mai - TP Hà Nội</v>
      </c>
      <c r="E13" s="34"/>
      <c r="F13" s="188" t="str">
        <f>+'Đỗ Thị Ngọc (5-7)'!F19</f>
        <v>05</v>
      </c>
      <c r="G13" s="188" t="str">
        <f>+'Đỗ Thị Ngọc (5-7)'!C19</f>
        <v>07</v>
      </c>
      <c r="H13" s="190">
        <f>+'Đỗ Thị Ngọc (5-7)'!C20</f>
        <v>161.19999999999999</v>
      </c>
      <c r="I13" s="190">
        <f>+'Đỗ Thị Ngọc (5-7)'!C22</f>
        <v>110.8</v>
      </c>
      <c r="J13" s="190">
        <f t="shared" si="5"/>
        <v>50.399999999999991</v>
      </c>
      <c r="K13" s="190">
        <f t="shared" si="2"/>
        <v>110.8</v>
      </c>
      <c r="L13" s="190"/>
      <c r="M13" s="190">
        <f t="shared" si="1"/>
        <v>110.8</v>
      </c>
      <c r="N13" s="190">
        <f>+'Đỗ Thị Ngọc (5-7)'!H26</f>
        <v>0</v>
      </c>
      <c r="O13" s="188">
        <f>+'Đỗ Thị Ngọc (5-7)'!H27</f>
        <v>0</v>
      </c>
      <c r="P13" s="189">
        <f>+'Đỗ Thị Ngọc (5-7)'!H34</f>
        <v>0</v>
      </c>
      <c r="Q13" s="189">
        <f>+'Đỗ Thị Ngọc (5-7)'!H49</f>
        <v>0</v>
      </c>
      <c r="R13" s="189">
        <f>+'Đỗ Thị Ngọc (5-7)'!H61</f>
        <v>0</v>
      </c>
      <c r="S13" s="189">
        <f t="shared" si="3"/>
        <v>0</v>
      </c>
      <c r="T13" s="208"/>
      <c r="U13" s="208"/>
      <c r="W13" s="196"/>
      <c r="X13" s="9"/>
      <c r="Y13" s="16"/>
      <c r="Z13" s="213" t="e">
        <f>#REF!</f>
        <v>#REF!</v>
      </c>
      <c r="AA13" s="209" t="s">
        <v>79</v>
      </c>
      <c r="AB13" s="211" t="e">
        <f>#REF!</f>
        <v>#REF!</v>
      </c>
    </row>
    <row r="14" spans="1:28" s="211" customFormat="1" ht="45" customHeight="1" x14ac:dyDescent="0.25">
      <c r="A14" s="194">
        <f t="shared" si="4"/>
        <v>7</v>
      </c>
      <c r="B14" s="8" t="str">
        <f>+'Nguyễn Văn Chiến (5-9)'!F9</f>
        <v>Nguyễn Văn Chiến</v>
      </c>
      <c r="C14" s="34" t="str">
        <f>+'Nguyễn Văn Chiến (5-9)'!C12</f>
        <v>001050018475</v>
      </c>
      <c r="D14" s="205" t="str">
        <f>+'Nguyễn Văn Chiến (5-9)'!C10</f>
        <v>Thôn Phố Gốt- xã Phú Nghĩa - TP Hà Nội</v>
      </c>
      <c r="E14" s="34"/>
      <c r="F14" s="188" t="str">
        <f>+'Nguyễn Văn Chiến (5-9)'!F19</f>
        <v>05</v>
      </c>
      <c r="G14" s="34" t="str">
        <f>+'Nguyễn Văn Chiến (5-9)'!C19</f>
        <v>09</v>
      </c>
      <c r="H14" s="190">
        <f>+'Nguyễn Văn Chiến (5-9)'!C20</f>
        <v>26.6</v>
      </c>
      <c r="I14" s="190">
        <f>+'Nguyễn Văn Chiến (5-9)'!C22</f>
        <v>26.6</v>
      </c>
      <c r="J14" s="190">
        <f t="shared" si="5"/>
        <v>0</v>
      </c>
      <c r="K14" s="190">
        <f t="shared" si="2"/>
        <v>26.6</v>
      </c>
      <c r="L14" s="190"/>
      <c r="M14" s="190">
        <f t="shared" si="1"/>
        <v>26.6</v>
      </c>
      <c r="N14" s="190" t="str">
        <f>+'Nguyễn Văn Chiến (5-9)'!H26</f>
        <v>01</v>
      </c>
      <c r="O14" s="188" t="str">
        <f>+'Nguyễn Văn Chiến (5-9)'!H27</f>
        <v>05</v>
      </c>
      <c r="P14" s="189">
        <f>+'Nguyễn Văn Chiến (5-9)'!H34</f>
        <v>0</v>
      </c>
      <c r="Q14" s="189">
        <f>+'Nguyễn Văn Chiến (5-9)'!H49</f>
        <v>0</v>
      </c>
      <c r="R14" s="188">
        <f>+'Nguyễn Văn Chiến (5-9)'!H56</f>
        <v>0</v>
      </c>
      <c r="S14" s="189">
        <f t="shared" si="3"/>
        <v>0</v>
      </c>
      <c r="T14" s="208"/>
      <c r="U14" s="212"/>
      <c r="W14" s="196"/>
      <c r="X14" s="9"/>
      <c r="Y14" s="16"/>
      <c r="Z14" s="213" t="e">
        <f>#REF!</f>
        <v>#REF!</v>
      </c>
      <c r="AA14" s="209" t="s">
        <v>79</v>
      </c>
      <c r="AB14" s="211" t="e">
        <f>#REF!</f>
        <v>#REF!</v>
      </c>
    </row>
    <row r="15" spans="1:28" s="211" customFormat="1" ht="45" customHeight="1" x14ac:dyDescent="0.25">
      <c r="A15" s="194">
        <f t="shared" si="4"/>
        <v>8</v>
      </c>
      <c r="B15" s="8" t="str">
        <f>'Nguyễn Thị Vân (5-8)'!F9</f>
        <v>Nguyễn Thị Vân</v>
      </c>
      <c r="C15" s="34" t="str">
        <f>'Nguyễn Thị Vân (5-8)'!C12:E12</f>
        <v>001152014624</v>
      </c>
      <c r="D15" s="205" t="str">
        <f>'Nguyễn Thị Vân (5-8)'!C10</f>
        <v>Thôn Phố Gốt - xã Phú Nghĩa - TP Hà Nội</v>
      </c>
      <c r="E15" s="34"/>
      <c r="F15" s="188" t="str">
        <f>'Nguyễn Thị Vân (5-8)'!F19</f>
        <v>04</v>
      </c>
      <c r="G15" s="188" t="str">
        <f>'Nguyễn Thị Vân (5-8)'!C19</f>
        <v>05</v>
      </c>
      <c r="H15" s="190">
        <f>'Nguyễn Thị Vân (5-8)'!C20</f>
        <v>25.2</v>
      </c>
      <c r="I15" s="190">
        <f>'Nguyễn Thị Vân (5-8)'!C22</f>
        <v>25.2</v>
      </c>
      <c r="J15" s="190">
        <f>'Nguyễn Thị Vân (5-8)'!C23</f>
        <v>0</v>
      </c>
      <c r="K15" s="190">
        <f t="shared" si="2"/>
        <v>25.2</v>
      </c>
      <c r="L15" s="190"/>
      <c r="M15" s="190">
        <f t="shared" si="1"/>
        <v>25.2</v>
      </c>
      <c r="N15" s="190">
        <f>'Nguyễn Thị Vân (5-8)'!H26</f>
        <v>0</v>
      </c>
      <c r="O15" s="188" t="str">
        <f>'Nguyễn Thị Vân (5-8)'!H27</f>
        <v>06</v>
      </c>
      <c r="P15" s="189">
        <f>+'[1]Bùi Văn Đồng(8-23)'!H34</f>
        <v>0</v>
      </c>
      <c r="Q15" s="189">
        <f>+'[1]Bùi Văn Đồng(8-23)'!H49</f>
        <v>0</v>
      </c>
      <c r="R15" s="188">
        <f>+'[1]Bùi Văn Đồng(8-23)'!H55</f>
        <v>0</v>
      </c>
      <c r="S15" s="189">
        <f t="shared" si="3"/>
        <v>0</v>
      </c>
      <c r="T15" s="208"/>
      <c r="U15" s="212"/>
      <c r="W15" s="196"/>
      <c r="X15" s="9"/>
      <c r="Y15" s="16"/>
      <c r="Z15" s="213" t="e">
        <f>#REF!</f>
        <v>#REF!</v>
      </c>
      <c r="AA15" s="209" t="s">
        <v>79</v>
      </c>
      <c r="AB15" s="211" t="e">
        <f>#REF!</f>
        <v>#REF!</v>
      </c>
    </row>
    <row r="16" spans="1:28" s="211" customFormat="1" ht="45" customHeight="1" x14ac:dyDescent="0.25">
      <c r="A16" s="194">
        <f t="shared" si="4"/>
        <v>9</v>
      </c>
      <c r="B16" s="8" t="str">
        <f>+'Vũ Viết Chinh (5-79)'!F9</f>
        <v>Vũ Viết Chinh - Nguyễn Thị Phương</v>
      </c>
      <c r="C16" s="34" t="str">
        <f>+'Vũ Viết Chinh (5-79)'!C12</f>
        <v>001067020168</v>
      </c>
      <c r="D16" s="205" t="str">
        <f>+'Vũ Viết Chinh (5-79)'!C10</f>
        <v>Thôn Phố Gốt - Xã Phú Nghĩa - TP Hà Nội</v>
      </c>
      <c r="E16" s="34"/>
      <c r="F16" s="188" t="str">
        <f>+'Vũ Viết Chinh (5-79)'!F19</f>
        <v>05</v>
      </c>
      <c r="G16" s="188">
        <f>+'Vũ Viết Chinh (5-79)'!C19</f>
        <v>79</v>
      </c>
      <c r="H16" s="190">
        <f>+'Vũ Viết Chinh (5-79)'!C20</f>
        <v>97.3</v>
      </c>
      <c r="I16" s="190">
        <f>+'Vũ Viết Chinh (5-79)'!C22</f>
        <v>59.1</v>
      </c>
      <c r="J16" s="190">
        <f t="shared" si="5"/>
        <v>38.199999999999996</v>
      </c>
      <c r="K16" s="190">
        <f t="shared" si="2"/>
        <v>59.1</v>
      </c>
      <c r="L16" s="190"/>
      <c r="M16" s="190">
        <f t="shared" si="1"/>
        <v>59.1</v>
      </c>
      <c r="N16" s="190" t="str">
        <f>+'Vũ Viết Chinh (5-79)'!H26</f>
        <v>01</v>
      </c>
      <c r="O16" s="188" t="str">
        <f>+'Vũ Viết Chinh (5-79)'!H27</f>
        <v>09</v>
      </c>
      <c r="P16" s="189">
        <f>+'Vũ Viết Chinh (5-79)'!H34</f>
        <v>0</v>
      </c>
      <c r="Q16" s="189">
        <f>+'Vũ Viết Chinh (5-79)'!H49</f>
        <v>0</v>
      </c>
      <c r="R16" s="189">
        <f>+'Vũ Viết Chinh (5-79)'!H57</f>
        <v>0</v>
      </c>
      <c r="S16" s="189">
        <f t="shared" si="3"/>
        <v>0</v>
      </c>
      <c r="T16" s="208"/>
      <c r="U16" s="212"/>
      <c r="W16" s="196"/>
      <c r="X16" s="9"/>
      <c r="Y16" s="16"/>
      <c r="Z16" s="213"/>
      <c r="AA16" s="209"/>
    </row>
    <row r="17" spans="1:28" s="211" customFormat="1" ht="45" customHeight="1" x14ac:dyDescent="0.25">
      <c r="A17" s="194">
        <f t="shared" si="4"/>
        <v>10</v>
      </c>
      <c r="B17" s="8" t="str">
        <f>+'Bùi Văn Hồng'!F9</f>
        <v>Bùi Văn Hồng</v>
      </c>
      <c r="C17" s="34" t="str">
        <f>+'Bùi Văn Hồng'!C12</f>
        <v>001060010502</v>
      </c>
      <c r="D17" s="205" t="str">
        <f>+'Bùi Văn Hồng'!C10</f>
        <v>Tổ dân phố Đình Tổ - xã Quốc Oai - TP Hà Nội</v>
      </c>
      <c r="E17" s="34"/>
      <c r="F17" s="188" t="str">
        <f>+'Bùi Văn Hồng'!F19</f>
        <v>05</v>
      </c>
      <c r="G17" s="188">
        <f>+'Bùi Văn Hồng'!C19</f>
        <v>76</v>
      </c>
      <c r="H17" s="190">
        <f>+'Bùi Văn Hồng'!C20</f>
        <v>82.4</v>
      </c>
      <c r="I17" s="190">
        <f>+'Bùi Văn Hồng'!C22</f>
        <v>53.1</v>
      </c>
      <c r="J17" s="190">
        <f t="shared" si="5"/>
        <v>29.300000000000004</v>
      </c>
      <c r="K17" s="190">
        <f t="shared" si="2"/>
        <v>53.1</v>
      </c>
      <c r="L17" s="190"/>
      <c r="M17" s="190">
        <f t="shared" si="1"/>
        <v>53.1</v>
      </c>
      <c r="N17" s="190">
        <f>+'Bùi Văn Hồng'!H26</f>
        <v>0</v>
      </c>
      <c r="O17" s="188">
        <f>+'Bùi Văn Hồng'!H27</f>
        <v>0</v>
      </c>
      <c r="P17" s="189">
        <f>+'Bùi Văn Hồng'!H34</f>
        <v>0</v>
      </c>
      <c r="Q17" s="189">
        <f>+'Bùi Văn Hồng'!H49</f>
        <v>0</v>
      </c>
      <c r="R17" s="189">
        <f>+'Bùi Văn Hồng'!H56</f>
        <v>0</v>
      </c>
      <c r="S17" s="189">
        <f t="shared" si="3"/>
        <v>0</v>
      </c>
      <c r="T17" s="208"/>
      <c r="U17" s="208"/>
      <c r="W17" s="196"/>
      <c r="X17" s="9"/>
      <c r="Y17" s="16"/>
      <c r="Z17" s="213"/>
      <c r="AA17" s="209"/>
    </row>
    <row r="18" spans="1:28" s="211" customFormat="1" ht="45" customHeight="1" x14ac:dyDescent="0.25">
      <c r="A18" s="194">
        <f t="shared" si="4"/>
        <v>11</v>
      </c>
      <c r="B18" s="8" t="str">
        <f>+'Nguyễn Thị Nguyên (5-45)'!F9</f>
        <v>Nguyễn Thị Nguyên</v>
      </c>
      <c r="C18" s="34" t="str">
        <f>+'Nguyễn Thị Nguyên (5-45)'!C12</f>
        <v>001165004448</v>
      </c>
      <c r="D18" s="205" t="str">
        <f>+'Nguyễn Thị Nguyên (5-45)'!C10</f>
        <v>Thôn Đông Cựu Đồi - xã Phú Nghĩa - TP Hà Nội</v>
      </c>
      <c r="E18" s="34"/>
      <c r="F18" s="188" t="str">
        <f>+'Nguyễn Thị Nguyên (5-45)'!F19</f>
        <v>05</v>
      </c>
      <c r="G18" s="188">
        <f>+'Nguyễn Thị Nguyên (5-45)'!C19</f>
        <v>45</v>
      </c>
      <c r="H18" s="190">
        <f>+'Nguyễn Thị Nguyên (5-45)'!C20</f>
        <v>60.5</v>
      </c>
      <c r="I18" s="190">
        <f>+'Nguyễn Thị Nguyên (5-45)'!C22</f>
        <v>43</v>
      </c>
      <c r="J18" s="190">
        <f t="shared" si="5"/>
        <v>17.5</v>
      </c>
      <c r="K18" s="190">
        <f t="shared" si="2"/>
        <v>43</v>
      </c>
      <c r="L18" s="190"/>
      <c r="M18" s="190">
        <f t="shared" si="1"/>
        <v>43</v>
      </c>
      <c r="N18" s="190" t="str">
        <f>+'Nguyễn Thị Nguyên (5-45)'!H26</f>
        <v>01</v>
      </c>
      <c r="O18" s="189" t="str">
        <f>+'Nguyễn Thị Nguyên (5-45)'!H27</f>
        <v>07</v>
      </c>
      <c r="P18" s="189">
        <f>+'Nguyễn Thị Nguyên (5-45)'!H34</f>
        <v>0</v>
      </c>
      <c r="Q18" s="189">
        <f>+'Nguyễn Thị Nguyên (5-45)'!H49</f>
        <v>0</v>
      </c>
      <c r="R18" s="189">
        <f>+'Nguyễn Thị Nguyên (5-45)'!H56</f>
        <v>0</v>
      </c>
      <c r="S18" s="189">
        <f t="shared" si="3"/>
        <v>0</v>
      </c>
      <c r="T18" s="208"/>
      <c r="U18" s="208"/>
      <c r="W18" s="196"/>
      <c r="X18" s="9"/>
      <c r="Y18" s="16"/>
      <c r="Z18" s="213"/>
      <c r="AA18" s="209"/>
    </row>
    <row r="19" spans="1:28" s="211" customFormat="1" ht="45" customHeight="1" x14ac:dyDescent="0.25">
      <c r="A19" s="194">
        <f t="shared" si="4"/>
        <v>12</v>
      </c>
      <c r="B19" s="8" t="str">
        <f>+'Trịnh Quang Lê (5-56)'!F9</f>
        <v>Trịnh Quang Lê -  Đỗ Thị Nguyệt</v>
      </c>
      <c r="C19" s="34" t="str">
        <f>+'Trịnh Quang Lê (5-56)'!C12</f>
        <v>0380700144311 - 001175042864</v>
      </c>
      <c r="D19" s="205" t="str">
        <f>+'Trịnh Quang Lê (5-56)'!C10</f>
        <v>Thôn Phố Gốt - xã Phú Nghĩa - TP Hà Nội</v>
      </c>
      <c r="E19" s="34"/>
      <c r="F19" s="188" t="str">
        <f>+'Trịnh Quang Lê (5-56)'!F19</f>
        <v>05</v>
      </c>
      <c r="G19" s="188">
        <f>+'Trịnh Quang Lê (5-56)'!C19</f>
        <v>56</v>
      </c>
      <c r="H19" s="190">
        <f>+'Trịnh Quang Lê (5-56)'!C20</f>
        <v>50.1</v>
      </c>
      <c r="I19" s="190">
        <f>+'Trịnh Quang Lê (5-56)'!C22</f>
        <v>42.6</v>
      </c>
      <c r="J19" s="190">
        <f t="shared" si="5"/>
        <v>7.5</v>
      </c>
      <c r="K19" s="190">
        <f t="shared" si="2"/>
        <v>42.6</v>
      </c>
      <c r="L19" s="190"/>
      <c r="M19" s="190">
        <f t="shared" si="1"/>
        <v>42.6</v>
      </c>
      <c r="N19" s="190" t="str">
        <f>+'Trịnh Quang Lê (5-56)'!H27</f>
        <v>01</v>
      </c>
      <c r="O19" s="188" t="str">
        <f>+'Trịnh Quang Lê (5-56)'!H28</f>
        <v>04</v>
      </c>
      <c r="P19" s="189">
        <f>+'Trịnh Quang Lê (5-56)'!H35</f>
        <v>0</v>
      </c>
      <c r="Q19" s="214">
        <f>+'Trịnh Quang Lê (5-56)'!H50</f>
        <v>0</v>
      </c>
      <c r="R19" s="214">
        <f>+'Trịnh Quang Lê (5-56)'!H63</f>
        <v>0</v>
      </c>
      <c r="S19" s="189">
        <f t="shared" si="3"/>
        <v>0</v>
      </c>
      <c r="T19" s="215"/>
      <c r="U19" s="215"/>
      <c r="W19" s="196"/>
      <c r="X19" s="9"/>
      <c r="Y19" s="16"/>
      <c r="Z19" s="213"/>
      <c r="AA19" s="209"/>
    </row>
    <row r="20" spans="1:28" s="211" customFormat="1" ht="45" customHeight="1" x14ac:dyDescent="0.25">
      <c r="A20" s="194">
        <f t="shared" si="4"/>
        <v>13</v>
      </c>
      <c r="B20" s="8" t="str">
        <f>+'Nguyễn Đức Tú (6-62)'!F9</f>
        <v>Nguyễn Đức Tú</v>
      </c>
      <c r="C20" s="34" t="str">
        <f>+'Nguyễn Đức Tú (6-62)'!C12</f>
        <v>001095032801</v>
      </c>
      <c r="D20" s="205" t="str">
        <f>+'Nguyễn Đức Tú (6-62)'!C10</f>
        <v>Thôn Phố Gốt - xã Phú Nghĩa - TP Hà Nội</v>
      </c>
      <c r="E20" s="34"/>
      <c r="F20" s="188" t="str">
        <f>+'Nguyễn Đức Tú (6-62)'!F19</f>
        <v>06</v>
      </c>
      <c r="G20" s="188">
        <f>+'Nguyễn Đức Tú (6-62)'!C19</f>
        <v>62</v>
      </c>
      <c r="H20" s="190">
        <f>+'Nguyễn Đức Tú (6-62)'!C20</f>
        <v>111.5</v>
      </c>
      <c r="I20" s="190">
        <f>+'Nguyễn Đức Tú (6-62)'!C22</f>
        <v>37.6</v>
      </c>
      <c r="J20" s="190">
        <f t="shared" si="5"/>
        <v>73.900000000000006</v>
      </c>
      <c r="K20" s="190">
        <f t="shared" si="2"/>
        <v>37.6</v>
      </c>
      <c r="L20" s="190"/>
      <c r="M20" s="190">
        <f t="shared" si="1"/>
        <v>37.6</v>
      </c>
      <c r="N20" s="190" t="str">
        <f>+'Nguyễn Đức Tú (6-62)'!H26</f>
        <v>01</v>
      </c>
      <c r="O20" s="188" t="str">
        <f>+'Nguyễn Đức Tú (6-62)'!H27</f>
        <v>04</v>
      </c>
      <c r="P20" s="189">
        <f>+'Nguyễn Đức Tú (6-62)'!H34</f>
        <v>0</v>
      </c>
      <c r="Q20" s="214">
        <f>+'Nguyễn Đức Tú (6-62)'!H49</f>
        <v>0</v>
      </c>
      <c r="R20" s="214">
        <f>+'Nguyễn Đức Tú (6-62)'!H55</f>
        <v>0</v>
      </c>
      <c r="S20" s="189">
        <f t="shared" si="3"/>
        <v>0</v>
      </c>
      <c r="T20" s="215"/>
      <c r="U20" s="215"/>
      <c r="W20" s="196"/>
      <c r="X20" s="9"/>
      <c r="Y20" s="16"/>
      <c r="Z20" s="213"/>
      <c r="AA20" s="209"/>
    </row>
    <row r="21" spans="1:28" s="211" customFormat="1" ht="45" customHeight="1" x14ac:dyDescent="0.25">
      <c r="A21" s="194">
        <f t="shared" si="4"/>
        <v>14</v>
      </c>
      <c r="B21" s="8" t="str">
        <f>+'Lê Văn Tâm (6-64)'!F9</f>
        <v>Lê Văn Tâm - Bùi Thị Lan</v>
      </c>
      <c r="C21" s="34" t="str">
        <f>+'Lê Văn Tâm (6-64)'!C12</f>
        <v>001059033000</v>
      </c>
      <c r="D21" s="205" t="str">
        <f>+'Lê Văn Tâm (6-64)'!C10</f>
        <v>Thôn Phố Gốt - Xã Phú Nghĩa - TP Hà Nội</v>
      </c>
      <c r="E21" s="34"/>
      <c r="F21" s="188" t="str">
        <f>+'Lê Văn Tâm (6-64)'!F19</f>
        <v>06</v>
      </c>
      <c r="G21" s="188">
        <f>+'Lê Văn Tâm (6-64)'!C19</f>
        <v>64</v>
      </c>
      <c r="H21" s="190">
        <f>+'Lê Văn Tâm (6-64)'!C20</f>
        <v>110.5</v>
      </c>
      <c r="I21" s="190">
        <f>+'Lê Văn Tâm (6-64)'!C22</f>
        <v>37.1</v>
      </c>
      <c r="J21" s="190">
        <f t="shared" si="5"/>
        <v>73.400000000000006</v>
      </c>
      <c r="K21" s="190">
        <f t="shared" si="2"/>
        <v>37.1</v>
      </c>
      <c r="L21" s="190"/>
      <c r="M21" s="190">
        <f t="shared" si="1"/>
        <v>37.1</v>
      </c>
      <c r="N21" s="190">
        <f>+'Lê Văn Tâm (6-64)'!H26</f>
        <v>0</v>
      </c>
      <c r="O21" s="189">
        <f>+'Lê Văn Tâm (6-64)'!H27</f>
        <v>0</v>
      </c>
      <c r="P21" s="189">
        <f>+'Lê Văn Tâm (6-64)'!H34</f>
        <v>0</v>
      </c>
      <c r="Q21" s="189">
        <f>+'Lê Văn Tâm (6-64)'!H49</f>
        <v>0</v>
      </c>
      <c r="R21" s="214">
        <f>+'Nguyễn Đức Tú (6-62)'!H55</f>
        <v>0</v>
      </c>
      <c r="S21" s="189">
        <f t="shared" si="3"/>
        <v>0</v>
      </c>
      <c r="T21" s="208"/>
      <c r="U21" s="215"/>
      <c r="W21" s="196"/>
      <c r="X21" s="9"/>
      <c r="Y21" s="16"/>
      <c r="Z21" s="213"/>
      <c r="AA21" s="209"/>
    </row>
    <row r="22" spans="1:28" s="211" customFormat="1" ht="45" customHeight="1" x14ac:dyDescent="0.25">
      <c r="A22" s="194">
        <f t="shared" si="4"/>
        <v>15</v>
      </c>
      <c r="B22" s="8" t="str">
        <f>+'Nguyễn Vũ Mạnh (6-4)'!F9</f>
        <v>Nguyễn Vũ Mạnh</v>
      </c>
      <c r="C22" s="34" t="str">
        <f>+'Nguyễn Vũ Mạnh (6-4)'!C12</f>
        <v>001065037043</v>
      </c>
      <c r="D22" s="205" t="str">
        <f>+'Nguyễn Vũ Mạnh (6-4)'!C10</f>
        <v>Thôn Thanh Trì - xã Phú Nghĩa - TP Hà Nội</v>
      </c>
      <c r="E22" s="34"/>
      <c r="F22" s="188" t="str">
        <f>+'Nguyễn Vũ Mạnh (6-4)'!F19</f>
        <v>06</v>
      </c>
      <c r="G22" s="188" t="str">
        <f>+'Nguyễn Vũ Mạnh (6-4)'!C19</f>
        <v>04</v>
      </c>
      <c r="H22" s="190">
        <f>+'Nguyễn Vũ Mạnh (6-4)'!C20</f>
        <v>660.5</v>
      </c>
      <c r="I22" s="190">
        <f>+'Nguyễn Vũ Mạnh (6-4)'!C22</f>
        <v>256.60000000000002</v>
      </c>
      <c r="J22" s="190">
        <f t="shared" si="5"/>
        <v>403.9</v>
      </c>
      <c r="K22" s="190">
        <f t="shared" si="2"/>
        <v>256.60000000000002</v>
      </c>
      <c r="L22" s="190"/>
      <c r="M22" s="190">
        <f t="shared" si="1"/>
        <v>256.60000000000002</v>
      </c>
      <c r="N22" s="190" t="str">
        <f>+'Nguyễn Vũ Mạnh (6-4)'!H26</f>
        <v>02</v>
      </c>
      <c r="O22" s="188" t="str">
        <f>+'Nguyễn Vũ Mạnh (6-4)'!H27</f>
        <v>07</v>
      </c>
      <c r="P22" s="189">
        <f>+'Nguyễn Vũ Mạnh (6-4)'!H34</f>
        <v>0</v>
      </c>
      <c r="Q22" s="189">
        <f>+'Nguyễn Vũ Mạnh (6-4)'!H49</f>
        <v>0</v>
      </c>
      <c r="R22" s="189">
        <f>+'Nguyễn Vũ Mạnh (6-4)'!H59</f>
        <v>0</v>
      </c>
      <c r="S22" s="189">
        <f t="shared" si="3"/>
        <v>0</v>
      </c>
      <c r="T22" s="208"/>
      <c r="U22" s="208"/>
      <c r="W22" s="196"/>
      <c r="X22" s="9"/>
      <c r="Y22" s="16"/>
      <c r="Z22" s="213"/>
      <c r="AA22" s="209"/>
    </row>
    <row r="23" spans="1:28" s="211" customFormat="1" ht="45" customHeight="1" x14ac:dyDescent="0.25">
      <c r="A23" s="194">
        <f t="shared" si="4"/>
        <v>16</v>
      </c>
      <c r="B23" s="8" t="str">
        <f>+'Nguyễn Bá Ước (6-3)'!F9</f>
        <v>Nguyễn Bá Ước - Nguyễn Thị Xuân</v>
      </c>
      <c r="C23" s="34" t="str">
        <f>+'Nguyễn Bá Ước (6-3)'!C12</f>
        <v>001065023600</v>
      </c>
      <c r="D23" s="205" t="str">
        <f>+'Nguyễn Bá Ước (6-3)'!C10</f>
        <v>Thôn Thanh Trì - xã Phú Nghĩa - TP Hà Nội</v>
      </c>
      <c r="E23" s="34"/>
      <c r="F23" s="188" t="str">
        <f>+'Nguyễn Bá Ước (6-3)'!F19</f>
        <v>03</v>
      </c>
      <c r="G23" s="188" t="str">
        <f>+'Nguyễn Bá Ước (6-3)'!C19</f>
        <v>06</v>
      </c>
      <c r="H23" s="190" t="str">
        <f>+'Nguyễn Bá Ước (6-3)'!C20</f>
        <v>1087,7</v>
      </c>
      <c r="I23" s="190">
        <f>+'Nguyễn Bá Ước (6-3)'!C22</f>
        <v>91</v>
      </c>
      <c r="J23" s="190">
        <f t="shared" si="5"/>
        <v>996.7</v>
      </c>
      <c r="K23" s="190">
        <f t="shared" si="2"/>
        <v>91</v>
      </c>
      <c r="L23" s="190"/>
      <c r="M23" s="190">
        <f t="shared" si="1"/>
        <v>91</v>
      </c>
      <c r="N23" s="190" t="str">
        <f>+'Nguyễn Bá Ước (6-3)'!H26</f>
        <v>01</v>
      </c>
      <c r="O23" s="188" t="str">
        <f>+'Nguyễn Bá Ước (6-3)'!H27</f>
        <v>06</v>
      </c>
      <c r="P23" s="189">
        <f>+'Nguyễn Bá Ước (6-3)'!H34</f>
        <v>0</v>
      </c>
      <c r="Q23" s="189">
        <f>+'Nguyễn Bá Ước (6-3)'!H49</f>
        <v>0</v>
      </c>
      <c r="R23" s="189">
        <f>+'Nguyễn Bá Ước (6-3)'!H55</f>
        <v>0</v>
      </c>
      <c r="S23" s="189">
        <f t="shared" si="3"/>
        <v>0</v>
      </c>
      <c r="T23" s="208"/>
      <c r="U23" s="208"/>
      <c r="W23" s="196"/>
      <c r="X23" s="9"/>
      <c r="Y23" s="16"/>
      <c r="Z23" s="213"/>
      <c r="AA23" s="209"/>
    </row>
    <row r="24" spans="1:28" s="211" customFormat="1" ht="45" customHeight="1" x14ac:dyDescent="0.25">
      <c r="A24" s="194">
        <f t="shared" si="4"/>
        <v>17</v>
      </c>
      <c r="B24" s="8" t="str">
        <f>+'Trần Trọng Hùng (6-55)'!F9</f>
        <v>Trần Trọng Hùng - Nguyễn Thị Minh</v>
      </c>
      <c r="C24" s="34" t="str">
        <f>+'Trần Trọng Hùng (6-55)'!C12</f>
        <v>001048000728 - 001153001127</v>
      </c>
      <c r="D24" s="205" t="str">
        <f>+'Trần Trọng Hùng (6-55)'!C10</f>
        <v>Thôn Phố Gốt - xã Phú Nghĩa - TP Hà Nội</v>
      </c>
      <c r="E24" s="34"/>
      <c r="F24" s="188" t="str">
        <f>+'Trần Trọng Hùng (6-55)'!F19</f>
        <v>06</v>
      </c>
      <c r="G24" s="188">
        <f>+'Trần Trọng Hùng (6-55)'!C19</f>
        <v>55</v>
      </c>
      <c r="H24" s="190">
        <f>+'Trần Trọng Hùng (6-55)'!C20</f>
        <v>336.2</v>
      </c>
      <c r="I24" s="190">
        <f>+'Trần Trọng Hùng (6-55)'!C22</f>
        <v>68.3</v>
      </c>
      <c r="J24" s="190">
        <f t="shared" si="5"/>
        <v>267.89999999999998</v>
      </c>
      <c r="K24" s="190">
        <f t="shared" si="2"/>
        <v>68.3</v>
      </c>
      <c r="L24" s="190"/>
      <c r="M24" s="190">
        <f t="shared" si="1"/>
        <v>68.3</v>
      </c>
      <c r="N24" s="190" t="str">
        <f>+'Trần Trọng Hùng (6-55)'!H26</f>
        <v>01</v>
      </c>
      <c r="O24" s="188">
        <f>+'Trần Trọng Hùng (6-55)'!H27</f>
        <v>10</v>
      </c>
      <c r="P24" s="189">
        <f>+'Trần Trọng Hùng (6-55)'!H34</f>
        <v>0</v>
      </c>
      <c r="Q24" s="189">
        <f>+'Trần Trọng Hùng (6-55)'!H49</f>
        <v>0</v>
      </c>
      <c r="R24" s="189">
        <f>+'Trần Trọng Hùng (6-55)'!H57</f>
        <v>0</v>
      </c>
      <c r="S24" s="189">
        <f t="shared" si="3"/>
        <v>0</v>
      </c>
      <c r="T24" s="208"/>
      <c r="U24" s="208"/>
      <c r="W24" s="196"/>
      <c r="X24" s="9"/>
      <c r="Y24" s="16"/>
      <c r="Z24" s="213"/>
      <c r="AA24" s="209"/>
    </row>
    <row r="25" spans="1:28" s="211" customFormat="1" ht="45" customHeight="1" x14ac:dyDescent="0.25">
      <c r="A25" s="194">
        <f t="shared" si="4"/>
        <v>18</v>
      </c>
      <c r="B25" s="8" t="str">
        <f>+'Trịnh Văn Hưởng (6-63)'!F9</f>
        <v>Trịnh Văn Hưởng - Nguyễn Thị Lan</v>
      </c>
      <c r="C25" s="34" t="str">
        <f>+'Trịnh Văn Hưởng (6-63)'!C12</f>
        <v>00105514876</v>
      </c>
      <c r="D25" s="205" t="str">
        <f>+'Trịnh Văn Hưởng (6-63)'!C10</f>
        <v>Thôn Quyết Thượng - xã Phú Nghĩa - TP Hà Nội</v>
      </c>
      <c r="E25" s="34"/>
      <c r="F25" s="188" t="str">
        <f>+'Trịnh Văn Hưởng (6-63)'!F19</f>
        <v>06</v>
      </c>
      <c r="G25" s="188">
        <f>+'Trịnh Văn Hưởng (6-63)'!C19</f>
        <v>63</v>
      </c>
      <c r="H25" s="190">
        <f>+'Trịnh Văn Hưởng (6-63)'!C20</f>
        <v>115.7</v>
      </c>
      <c r="I25" s="190">
        <f>+'Trịnh Văn Hưởng (6-63)'!C22</f>
        <v>35.9</v>
      </c>
      <c r="J25" s="190">
        <f t="shared" si="5"/>
        <v>79.800000000000011</v>
      </c>
      <c r="K25" s="190">
        <f t="shared" si="2"/>
        <v>35.9</v>
      </c>
      <c r="L25" s="190"/>
      <c r="M25" s="190">
        <f t="shared" si="1"/>
        <v>35.9</v>
      </c>
      <c r="N25" s="190" t="str">
        <f>+'Trịnh Văn Hưởng (6-63)'!H26</f>
        <v>01</v>
      </c>
      <c r="O25" s="188" t="str">
        <f>+'Trịnh Văn Hưởng (6-63)'!H27</f>
        <v>06</v>
      </c>
      <c r="P25" s="189">
        <f>+'Trịnh Văn Hưởng (6-63)'!H34</f>
        <v>0</v>
      </c>
      <c r="Q25" s="189">
        <f>+'Trịnh Văn Hưởng (6-63)'!H49</f>
        <v>0</v>
      </c>
      <c r="R25" s="189">
        <f>+'Trịnh Văn Hưởng (6-63)'!H55</f>
        <v>0</v>
      </c>
      <c r="S25" s="189">
        <f t="shared" si="3"/>
        <v>0</v>
      </c>
      <c r="T25" s="208"/>
      <c r="U25" s="208"/>
      <c r="W25" s="196"/>
      <c r="X25" s="9"/>
      <c r="Y25" s="16"/>
      <c r="Z25" s="213"/>
      <c r="AA25" s="209"/>
    </row>
    <row r="26" spans="1:28" s="211" customFormat="1" ht="45" customHeight="1" x14ac:dyDescent="0.25">
      <c r="A26" s="194">
        <f t="shared" si="4"/>
        <v>19</v>
      </c>
      <c r="B26" s="8" t="e">
        <f>+#REF!</f>
        <v>#REF!</v>
      </c>
      <c r="C26" s="34" t="e">
        <f>+#REF!</f>
        <v>#REF!</v>
      </c>
      <c r="D26" s="205" t="e">
        <f>+#REF!</f>
        <v>#REF!</v>
      </c>
      <c r="E26" s="34"/>
      <c r="F26" s="188" t="e">
        <f>+#REF!</f>
        <v>#REF!</v>
      </c>
      <c r="G26" s="188" t="e">
        <f>+#REF!</f>
        <v>#REF!</v>
      </c>
      <c r="H26" s="190" t="e">
        <f>+#REF!</f>
        <v>#REF!</v>
      </c>
      <c r="I26" s="190" t="e">
        <f>+#REF!</f>
        <v>#REF!</v>
      </c>
      <c r="J26" s="190" t="e">
        <f t="shared" si="5"/>
        <v>#REF!</v>
      </c>
      <c r="K26" s="190" t="e">
        <f t="shared" si="2"/>
        <v>#REF!</v>
      </c>
      <c r="L26" s="190"/>
      <c r="M26" s="190" t="e">
        <f t="shared" si="1"/>
        <v>#REF!</v>
      </c>
      <c r="N26" s="190" t="e">
        <f>+#REF!</f>
        <v>#REF!</v>
      </c>
      <c r="O26" s="188" t="e">
        <f>+#REF!</f>
        <v>#REF!</v>
      </c>
      <c r="P26" s="189" t="e">
        <f>+#REF!</f>
        <v>#REF!</v>
      </c>
      <c r="Q26" s="188" t="e">
        <f>+#REF!</f>
        <v>#REF!</v>
      </c>
      <c r="R26" s="188" t="e">
        <f>+#REF!</f>
        <v>#REF!</v>
      </c>
      <c r="S26" s="189" t="e">
        <f t="shared" si="3"/>
        <v>#REF!</v>
      </c>
      <c r="T26" s="212"/>
      <c r="U26" s="212"/>
      <c r="W26" s="196"/>
      <c r="X26" s="9"/>
      <c r="Y26" s="16"/>
      <c r="Z26" s="213"/>
      <c r="AA26" s="209"/>
    </row>
    <row r="27" spans="1:28" s="211" customFormat="1" ht="45" customHeight="1" x14ac:dyDescent="0.25">
      <c r="A27" s="194">
        <f t="shared" si="4"/>
        <v>20</v>
      </c>
      <c r="B27" s="8" t="e">
        <f>+#REF!</f>
        <v>#REF!</v>
      </c>
      <c r="C27" s="34" t="e">
        <f>+#REF!</f>
        <v>#REF!</v>
      </c>
      <c r="D27" s="205" t="e">
        <f>+#REF!</f>
        <v>#REF!</v>
      </c>
      <c r="E27" s="34"/>
      <c r="F27" s="188" t="e">
        <f>+#REF!</f>
        <v>#REF!</v>
      </c>
      <c r="G27" s="188" t="e">
        <f>+#REF!</f>
        <v>#REF!</v>
      </c>
      <c r="H27" s="190" t="e">
        <f>+#REF!</f>
        <v>#REF!</v>
      </c>
      <c r="I27" s="190" t="e">
        <f>+#REF!</f>
        <v>#REF!</v>
      </c>
      <c r="J27" s="190" t="e">
        <f t="shared" si="5"/>
        <v>#REF!</v>
      </c>
      <c r="K27" s="190" t="e">
        <f t="shared" si="2"/>
        <v>#REF!</v>
      </c>
      <c r="L27" s="190"/>
      <c r="M27" s="190" t="e">
        <f t="shared" si="1"/>
        <v>#REF!</v>
      </c>
      <c r="N27" s="190" t="e">
        <f>+#REF!</f>
        <v>#REF!</v>
      </c>
      <c r="O27" s="188" t="e">
        <f>+#REF!</f>
        <v>#REF!</v>
      </c>
      <c r="P27" s="189" t="e">
        <f>+#REF!</f>
        <v>#REF!</v>
      </c>
      <c r="Q27" s="189" t="e">
        <f>+#REF!</f>
        <v>#REF!</v>
      </c>
      <c r="R27" s="189" t="e">
        <f>+#REF!</f>
        <v>#REF!</v>
      </c>
      <c r="S27" s="189" t="e">
        <f t="shared" si="3"/>
        <v>#REF!</v>
      </c>
      <c r="T27" s="208"/>
      <c r="U27" s="208"/>
      <c r="W27" s="196"/>
      <c r="X27" s="9"/>
      <c r="Y27" s="16"/>
      <c r="Z27" s="213"/>
      <c r="AA27" s="209"/>
    </row>
    <row r="28" spans="1:28" s="7" customFormat="1" ht="18.75" hidden="1" x14ac:dyDescent="0.25">
      <c r="A28" s="194" t="e">
        <f>+#REF!+1</f>
        <v>#REF!</v>
      </c>
      <c r="B28" s="17" t="e">
        <f>+#REF!</f>
        <v>#REF!</v>
      </c>
      <c r="C28" s="35" t="e">
        <f>+#REF!</f>
        <v>#REF!</v>
      </c>
      <c r="D28" s="216" t="e">
        <f>+#REF!</f>
        <v>#REF!</v>
      </c>
      <c r="E28" s="31" t="e">
        <f>+#REF!</f>
        <v>#REF!</v>
      </c>
      <c r="F28" s="32" t="e">
        <f>+#REF!</f>
        <v>#REF!</v>
      </c>
      <c r="G28" s="32" t="e">
        <f>+#REF!</f>
        <v>#REF!</v>
      </c>
      <c r="H28" s="33" t="e">
        <f>+#REF!</f>
        <v>#REF!</v>
      </c>
      <c r="I28" s="33" t="e">
        <f>+#REF!</f>
        <v>#REF!</v>
      </c>
      <c r="J28" s="33" t="e">
        <f t="shared" si="5"/>
        <v>#REF!</v>
      </c>
      <c r="K28" s="33"/>
      <c r="L28" s="33"/>
      <c r="M28" s="33"/>
      <c r="N28" s="33"/>
      <c r="O28" s="33"/>
      <c r="P28" s="33"/>
      <c r="Q28" s="32"/>
      <c r="R28" s="32"/>
      <c r="S28" s="6">
        <f t="shared" si="3"/>
        <v>0</v>
      </c>
      <c r="W28" s="197"/>
      <c r="X28" s="18"/>
      <c r="Y28" s="19"/>
      <c r="Z28" s="10" t="e">
        <f>#REF!</f>
        <v>#REF!</v>
      </c>
      <c r="AA28" s="6" t="s">
        <v>79</v>
      </c>
      <c r="AB28" s="7" t="e">
        <f>#REF!</f>
        <v>#REF!</v>
      </c>
    </row>
    <row r="29" spans="1:28" s="5" customFormat="1" ht="36.75" customHeight="1" thickBot="1" x14ac:dyDescent="0.35">
      <c r="A29" s="203"/>
      <c r="B29" s="14" t="s">
        <v>80</v>
      </c>
      <c r="C29" s="217"/>
      <c r="D29" s="218"/>
      <c r="E29" s="217"/>
      <c r="F29" s="219"/>
      <c r="G29" s="219"/>
      <c r="H29" s="220" t="e">
        <f t="shared" ref="H29:M29" si="6">SUM(H8:H27)</f>
        <v>#REF!</v>
      </c>
      <c r="I29" s="220" t="e">
        <f t="shared" si="6"/>
        <v>#REF!</v>
      </c>
      <c r="J29" s="220" t="e">
        <f t="shared" si="6"/>
        <v>#REF!</v>
      </c>
      <c r="K29" s="220" t="e">
        <f t="shared" si="6"/>
        <v>#REF!</v>
      </c>
      <c r="L29" s="220">
        <f t="shared" si="6"/>
        <v>0</v>
      </c>
      <c r="M29" s="220" t="e">
        <f t="shared" si="6"/>
        <v>#REF!</v>
      </c>
      <c r="N29" s="220"/>
      <c r="O29" s="220"/>
      <c r="P29" s="220" t="e">
        <f>SUM(P8:P27)</f>
        <v>#REF!</v>
      </c>
      <c r="Q29" s="220" t="e">
        <f>SUM(P8:P27)</f>
        <v>#REF!</v>
      </c>
      <c r="R29" s="220" t="e">
        <f>SUM(Q8:Q27)</f>
        <v>#REF!</v>
      </c>
      <c r="S29" s="221" t="e">
        <f>SUM(R8:R27)</f>
        <v>#REF!</v>
      </c>
      <c r="T29" s="199"/>
      <c r="U29" s="199"/>
      <c r="V29" s="199"/>
      <c r="W29" s="198">
        <f>SUM(W8:W27)</f>
        <v>0</v>
      </c>
      <c r="X29" s="15">
        <f>SUM(X8:X27)</f>
        <v>0</v>
      </c>
      <c r="Y29" s="15">
        <f>SUM(Y8:Y27)</f>
        <v>0</v>
      </c>
      <c r="Z29" s="3"/>
      <c r="AA29" s="4"/>
    </row>
    <row r="30" spans="1:28" ht="15.75" thickTop="1" x14ac:dyDescent="0.25"/>
    <row r="32" spans="1:28" x14ac:dyDescent="0.25">
      <c r="N32" s="13"/>
      <c r="O32" s="405"/>
      <c r="P32" s="405"/>
      <c r="Q32" s="405"/>
      <c r="R32" s="405"/>
      <c r="S32" s="405"/>
      <c r="T32" s="405"/>
      <c r="U32" s="405"/>
      <c r="V32" s="405"/>
      <c r="W32" s="405"/>
      <c r="X32" s="405"/>
      <c r="Y32" s="405"/>
    </row>
    <row r="33" spans="14:25" x14ac:dyDescent="0.25">
      <c r="N33" s="13"/>
      <c r="O33" s="405"/>
      <c r="P33" s="405"/>
      <c r="Q33" s="405"/>
      <c r="R33" s="405"/>
      <c r="S33" s="405"/>
      <c r="T33" s="405"/>
      <c r="U33" s="405"/>
      <c r="V33" s="405"/>
      <c r="W33" s="405"/>
      <c r="X33" s="405"/>
      <c r="Y33" s="405"/>
    </row>
    <row r="34" spans="14:25" x14ac:dyDescent="0.25">
      <c r="N34" s="13"/>
      <c r="O34" s="405"/>
      <c r="P34" s="405"/>
      <c r="Q34" s="405"/>
      <c r="R34" s="405"/>
      <c r="S34" s="405"/>
      <c r="T34" s="405"/>
      <c r="U34" s="405"/>
      <c r="V34" s="405"/>
      <c r="W34" s="405"/>
      <c r="X34" s="405"/>
      <c r="Y34" s="405"/>
    </row>
    <row r="35" spans="14:25" x14ac:dyDescent="0.25">
      <c r="N35" s="13"/>
      <c r="O35" s="13"/>
      <c r="P35" s="13"/>
      <c r="Q35" s="13"/>
      <c r="R35" s="13"/>
      <c r="S35" s="13"/>
      <c r="T35" s="13"/>
      <c r="U35" s="13"/>
      <c r="V35" s="13"/>
      <c r="W35" s="13"/>
      <c r="X35" s="13"/>
      <c r="Y35" s="13"/>
    </row>
    <row r="36" spans="14:25" x14ac:dyDescent="0.25">
      <c r="N36" s="13"/>
      <c r="O36" s="13"/>
      <c r="P36" s="13"/>
      <c r="Q36" s="13"/>
      <c r="R36" s="13"/>
      <c r="S36" s="13"/>
      <c r="T36" s="13"/>
      <c r="U36" s="13"/>
      <c r="V36" s="13"/>
      <c r="W36" s="13"/>
      <c r="X36" s="13"/>
      <c r="Y36" s="13"/>
    </row>
    <row r="37" spans="14:25" x14ac:dyDescent="0.25">
      <c r="N37" s="13"/>
      <c r="O37" s="13"/>
      <c r="P37" s="13"/>
      <c r="Q37" s="13"/>
      <c r="R37" s="13"/>
      <c r="S37" s="13"/>
      <c r="T37" s="13"/>
      <c r="U37" s="13"/>
      <c r="V37" s="13"/>
      <c r="W37" s="13"/>
      <c r="X37" s="13"/>
      <c r="Y37" s="13"/>
    </row>
    <row r="38" spans="14:25" x14ac:dyDescent="0.25">
      <c r="N38" s="13"/>
      <c r="O38" s="13"/>
      <c r="P38" s="13"/>
      <c r="Q38" s="13"/>
      <c r="R38" s="13"/>
      <c r="S38" s="13"/>
      <c r="T38" s="13"/>
      <c r="U38" s="13"/>
      <c r="V38" s="13"/>
      <c r="W38" s="13"/>
      <c r="X38" s="13"/>
      <c r="Y38" s="13"/>
    </row>
    <row r="39" spans="14:25" x14ac:dyDescent="0.25">
      <c r="N39" s="13"/>
      <c r="O39" s="13"/>
      <c r="P39" s="13"/>
      <c r="Q39" s="13"/>
      <c r="R39" s="13"/>
      <c r="S39" s="13"/>
      <c r="T39" s="13"/>
      <c r="U39" s="13"/>
      <c r="V39" s="13"/>
      <c r="W39" s="13"/>
      <c r="X39" s="13"/>
      <c r="Y39" s="13"/>
    </row>
    <row r="40" spans="14:25" x14ac:dyDescent="0.25">
      <c r="N40" s="13"/>
      <c r="O40" s="13"/>
      <c r="P40" s="13"/>
      <c r="Q40" s="13"/>
      <c r="R40" s="13"/>
      <c r="S40" s="13"/>
      <c r="T40" s="13"/>
      <c r="U40" s="13"/>
      <c r="V40" s="13"/>
      <c r="W40" s="13"/>
      <c r="X40" s="13"/>
      <c r="Y40" s="13"/>
    </row>
    <row r="41" spans="14:25" x14ac:dyDescent="0.25">
      <c r="N41" s="13"/>
      <c r="O41" s="405"/>
      <c r="P41" s="405"/>
      <c r="Q41" s="405"/>
      <c r="R41" s="405"/>
      <c r="S41" s="405"/>
      <c r="T41" s="405"/>
      <c r="U41" s="405"/>
      <c r="V41" s="405"/>
      <c r="W41" s="405"/>
      <c r="X41" s="405"/>
      <c r="Y41" s="405"/>
    </row>
  </sheetData>
  <mergeCells count="27">
    <mergeCell ref="O34:Y34"/>
    <mergeCell ref="O41:Y41"/>
    <mergeCell ref="S4:S6"/>
    <mergeCell ref="T4:T6"/>
    <mergeCell ref="U4:U6"/>
    <mergeCell ref="V4:V6"/>
    <mergeCell ref="K5:K6"/>
    <mergeCell ref="L5:M5"/>
    <mergeCell ref="H4:M4"/>
    <mergeCell ref="O32:Y32"/>
    <mergeCell ref="O33:Y33"/>
    <mergeCell ref="A1:S1"/>
    <mergeCell ref="A2:S2"/>
    <mergeCell ref="A4:A6"/>
    <mergeCell ref="B4:B6"/>
    <mergeCell ref="C4:C6"/>
    <mergeCell ref="D4:D6"/>
    <mergeCell ref="E4:E6"/>
    <mergeCell ref="F4:F6"/>
    <mergeCell ref="G4:G6"/>
    <mergeCell ref="N4:N6"/>
    <mergeCell ref="O4:O6"/>
    <mergeCell ref="P4:P6"/>
    <mergeCell ref="Q4:Q6"/>
    <mergeCell ref="R4:R6"/>
    <mergeCell ref="H5:H6"/>
    <mergeCell ref="I5:J5"/>
  </mergeCells>
  <printOptions horizontalCentered="1"/>
  <pageMargins left="0.15748031496062992" right="0.15748031496062992" top="0.39370078740157483" bottom="0.31496062992125984" header="0.19685039370078741" footer="0.27559055118110237"/>
  <pageSetup paperSize="9" scale="80" orientation="portrait" r:id="rId1"/>
  <colBreaks count="1" manualBreakCount="1">
    <brk id="19" max="1048575" man="1"/>
  </colBreaks>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1"/>
  <sheetViews>
    <sheetView zoomScale="85" zoomScaleNormal="85" zoomScaleSheetLayoutView="85" workbookViewId="0">
      <pane ySplit="7" topLeftCell="A8" activePane="bottomLeft" state="frozen"/>
      <selection pane="bottomLeft" activeCell="C12" sqref="C12"/>
    </sheetView>
  </sheetViews>
  <sheetFormatPr defaultColWidth="8.7109375" defaultRowHeight="15" x14ac:dyDescent="0.25"/>
  <cols>
    <col min="1" max="1" width="9.140625" style="202" customWidth="1"/>
    <col min="2" max="2" width="29.42578125" style="2" customWidth="1"/>
    <col min="3" max="3" width="22.7109375" style="2" customWidth="1"/>
    <col min="4" max="4" width="34.28515625" style="204" customWidth="1"/>
    <col min="5" max="5" width="25.28515625" style="2" customWidth="1"/>
    <col min="6" max="6" width="10.42578125" style="2" hidden="1" customWidth="1"/>
    <col min="7" max="7" width="9" style="2" hidden="1" customWidth="1"/>
    <col min="8" max="8" width="12.28515625" style="2" hidden="1" customWidth="1"/>
    <col min="9" max="9" width="12.7109375" style="2" hidden="1" customWidth="1"/>
    <col min="10" max="10" width="10.42578125" style="2" hidden="1" customWidth="1"/>
    <col min="11" max="12" width="11.42578125" style="2" hidden="1" customWidth="1"/>
    <col min="13" max="13" width="14.42578125" style="2" hidden="1" customWidth="1"/>
    <col min="14" max="14" width="8.42578125" style="2" hidden="1" customWidth="1"/>
    <col min="15" max="15" width="9.7109375" style="2" hidden="1" customWidth="1"/>
    <col min="16" max="16" width="12.140625" style="2" hidden="1" customWidth="1"/>
    <col min="17" max="17" width="10" style="2" hidden="1" customWidth="1"/>
    <col min="18" max="18" width="12.42578125" style="2" hidden="1" customWidth="1"/>
    <col min="19" max="19" width="16.7109375" style="2" hidden="1" customWidth="1"/>
    <col min="20" max="20" width="10.140625" style="2" customWidth="1"/>
    <col min="21" max="22" width="14.42578125" style="2" customWidth="1"/>
    <col min="23" max="23" width="16" style="2" customWidth="1"/>
    <col min="24" max="24" width="14.42578125" style="2" customWidth="1"/>
    <col min="25" max="25" width="15.7109375" style="2" customWidth="1"/>
    <col min="26" max="26" width="115.42578125" style="2" customWidth="1"/>
    <col min="27" max="27" width="11.42578125" style="2" customWidth="1"/>
    <col min="28" max="28" width="76.42578125" style="2" customWidth="1"/>
    <col min="29" max="258" width="9.140625" style="2"/>
    <col min="259" max="259" width="7.42578125" style="2" customWidth="1"/>
    <col min="260" max="263" width="14" style="2" customWidth="1"/>
    <col min="264" max="265" width="8.42578125" style="2" customWidth="1"/>
    <col min="266" max="271" width="9.140625" style="2"/>
    <col min="272" max="272" width="10.140625" style="2" bestFit="1" customWidth="1"/>
    <col min="273" max="274" width="9.140625" style="2"/>
    <col min="275" max="275" width="6.7109375" style="2" customWidth="1"/>
    <col min="276" max="276" width="8.42578125" style="2" customWidth="1"/>
    <col min="277" max="283" width="14.42578125" style="2" customWidth="1"/>
    <col min="284" max="284" width="71.7109375" style="2" customWidth="1"/>
    <col min="285" max="514" width="9.140625" style="2"/>
    <col min="515" max="515" width="7.42578125" style="2" customWidth="1"/>
    <col min="516" max="519" width="14" style="2" customWidth="1"/>
    <col min="520" max="521" width="8.42578125" style="2" customWidth="1"/>
    <col min="522" max="527" width="9.140625" style="2"/>
    <col min="528" max="528" width="10.140625" style="2" bestFit="1" customWidth="1"/>
    <col min="529" max="530" width="9.140625" style="2"/>
    <col min="531" max="531" width="6.7109375" style="2" customWidth="1"/>
    <col min="532" max="532" width="8.42578125" style="2" customWidth="1"/>
    <col min="533" max="539" width="14.42578125" style="2" customWidth="1"/>
    <col min="540" max="540" width="71.7109375" style="2" customWidth="1"/>
    <col min="541" max="770" width="9.140625" style="2"/>
    <col min="771" max="771" width="7.42578125" style="2" customWidth="1"/>
    <col min="772" max="775" width="14" style="2" customWidth="1"/>
    <col min="776" max="777" width="8.42578125" style="2" customWidth="1"/>
    <col min="778" max="783" width="9.140625" style="2"/>
    <col min="784" max="784" width="10.140625" style="2" bestFit="1" customWidth="1"/>
    <col min="785" max="786" width="9.140625" style="2"/>
    <col min="787" max="787" width="6.7109375" style="2" customWidth="1"/>
    <col min="788" max="788" width="8.42578125" style="2" customWidth="1"/>
    <col min="789" max="795" width="14.42578125" style="2" customWidth="1"/>
    <col min="796" max="796" width="71.7109375" style="2" customWidth="1"/>
    <col min="797" max="1026" width="9.140625" style="2"/>
    <col min="1027" max="1027" width="7.42578125" style="2" customWidth="1"/>
    <col min="1028" max="1031" width="14" style="2" customWidth="1"/>
    <col min="1032" max="1033" width="8.42578125" style="2" customWidth="1"/>
    <col min="1034" max="1039" width="9.140625" style="2"/>
    <col min="1040" max="1040" width="10.140625" style="2" bestFit="1" customWidth="1"/>
    <col min="1041" max="1042" width="9.140625" style="2"/>
    <col min="1043" max="1043" width="6.7109375" style="2" customWidth="1"/>
    <col min="1044" max="1044" width="8.42578125" style="2" customWidth="1"/>
    <col min="1045" max="1051" width="14.42578125" style="2" customWidth="1"/>
    <col min="1052" max="1052" width="71.7109375" style="2" customWidth="1"/>
    <col min="1053" max="1282" width="9.140625" style="2"/>
    <col min="1283" max="1283" width="7.42578125" style="2" customWidth="1"/>
    <col min="1284" max="1287" width="14" style="2" customWidth="1"/>
    <col min="1288" max="1289" width="8.42578125" style="2" customWidth="1"/>
    <col min="1290" max="1295" width="9.140625" style="2"/>
    <col min="1296" max="1296" width="10.140625" style="2" bestFit="1" customWidth="1"/>
    <col min="1297" max="1298" width="9.140625" style="2"/>
    <col min="1299" max="1299" width="6.7109375" style="2" customWidth="1"/>
    <col min="1300" max="1300" width="8.42578125" style="2" customWidth="1"/>
    <col min="1301" max="1307" width="14.42578125" style="2" customWidth="1"/>
    <col min="1308" max="1308" width="71.7109375" style="2" customWidth="1"/>
    <col min="1309" max="1538" width="9.140625" style="2"/>
    <col min="1539" max="1539" width="7.42578125" style="2" customWidth="1"/>
    <col min="1540" max="1543" width="14" style="2" customWidth="1"/>
    <col min="1544" max="1545" width="8.42578125" style="2" customWidth="1"/>
    <col min="1546" max="1551" width="9.140625" style="2"/>
    <col min="1552" max="1552" width="10.140625" style="2" bestFit="1" customWidth="1"/>
    <col min="1553" max="1554" width="9.140625" style="2"/>
    <col min="1555" max="1555" width="6.7109375" style="2" customWidth="1"/>
    <col min="1556" max="1556" width="8.42578125" style="2" customWidth="1"/>
    <col min="1557" max="1563" width="14.42578125" style="2" customWidth="1"/>
    <col min="1564" max="1564" width="71.7109375" style="2" customWidth="1"/>
    <col min="1565" max="1794" width="9.140625" style="2"/>
    <col min="1795" max="1795" width="7.42578125" style="2" customWidth="1"/>
    <col min="1796" max="1799" width="14" style="2" customWidth="1"/>
    <col min="1800" max="1801" width="8.42578125" style="2" customWidth="1"/>
    <col min="1802" max="1807" width="9.140625" style="2"/>
    <col min="1808" max="1808" width="10.140625" style="2" bestFit="1" customWidth="1"/>
    <col min="1809" max="1810" width="9.140625" style="2"/>
    <col min="1811" max="1811" width="6.7109375" style="2" customWidth="1"/>
    <col min="1812" max="1812" width="8.42578125" style="2" customWidth="1"/>
    <col min="1813" max="1819" width="14.42578125" style="2" customWidth="1"/>
    <col min="1820" max="1820" width="71.7109375" style="2" customWidth="1"/>
    <col min="1821" max="2050" width="9.140625" style="2"/>
    <col min="2051" max="2051" width="7.42578125" style="2" customWidth="1"/>
    <col min="2052" max="2055" width="14" style="2" customWidth="1"/>
    <col min="2056" max="2057" width="8.42578125" style="2" customWidth="1"/>
    <col min="2058" max="2063" width="9.140625" style="2"/>
    <col min="2064" max="2064" width="10.140625" style="2" bestFit="1" customWidth="1"/>
    <col min="2065" max="2066" width="9.140625" style="2"/>
    <col min="2067" max="2067" width="6.7109375" style="2" customWidth="1"/>
    <col min="2068" max="2068" width="8.42578125" style="2" customWidth="1"/>
    <col min="2069" max="2075" width="14.42578125" style="2" customWidth="1"/>
    <col min="2076" max="2076" width="71.7109375" style="2" customWidth="1"/>
    <col min="2077" max="2306" width="9.140625" style="2"/>
    <col min="2307" max="2307" width="7.42578125" style="2" customWidth="1"/>
    <col min="2308" max="2311" width="14" style="2" customWidth="1"/>
    <col min="2312" max="2313" width="8.42578125" style="2" customWidth="1"/>
    <col min="2314" max="2319" width="9.140625" style="2"/>
    <col min="2320" max="2320" width="10.140625" style="2" bestFit="1" customWidth="1"/>
    <col min="2321" max="2322" width="9.140625" style="2"/>
    <col min="2323" max="2323" width="6.7109375" style="2" customWidth="1"/>
    <col min="2324" max="2324" width="8.42578125" style="2" customWidth="1"/>
    <col min="2325" max="2331" width="14.42578125" style="2" customWidth="1"/>
    <col min="2332" max="2332" width="71.7109375" style="2" customWidth="1"/>
    <col min="2333" max="2562" width="9.140625" style="2"/>
    <col min="2563" max="2563" width="7.42578125" style="2" customWidth="1"/>
    <col min="2564" max="2567" width="14" style="2" customWidth="1"/>
    <col min="2568" max="2569" width="8.42578125" style="2" customWidth="1"/>
    <col min="2570" max="2575" width="9.140625" style="2"/>
    <col min="2576" max="2576" width="10.140625" style="2" bestFit="1" customWidth="1"/>
    <col min="2577" max="2578" width="9.140625" style="2"/>
    <col min="2579" max="2579" width="6.7109375" style="2" customWidth="1"/>
    <col min="2580" max="2580" width="8.42578125" style="2" customWidth="1"/>
    <col min="2581" max="2587" width="14.42578125" style="2" customWidth="1"/>
    <col min="2588" max="2588" width="71.7109375" style="2" customWidth="1"/>
    <col min="2589" max="2818" width="9.140625" style="2"/>
    <col min="2819" max="2819" width="7.42578125" style="2" customWidth="1"/>
    <col min="2820" max="2823" width="14" style="2" customWidth="1"/>
    <col min="2824" max="2825" width="8.42578125" style="2" customWidth="1"/>
    <col min="2826" max="2831" width="9.140625" style="2"/>
    <col min="2832" max="2832" width="10.140625" style="2" bestFit="1" customWidth="1"/>
    <col min="2833" max="2834" width="9.140625" style="2"/>
    <col min="2835" max="2835" width="6.7109375" style="2" customWidth="1"/>
    <col min="2836" max="2836" width="8.42578125" style="2" customWidth="1"/>
    <col min="2837" max="2843" width="14.42578125" style="2" customWidth="1"/>
    <col min="2844" max="2844" width="71.7109375" style="2" customWidth="1"/>
    <col min="2845" max="3074" width="9.140625" style="2"/>
    <col min="3075" max="3075" width="7.42578125" style="2" customWidth="1"/>
    <col min="3076" max="3079" width="14" style="2" customWidth="1"/>
    <col min="3080" max="3081" width="8.42578125" style="2" customWidth="1"/>
    <col min="3082" max="3087" width="9.140625" style="2"/>
    <col min="3088" max="3088" width="10.140625" style="2" bestFit="1" customWidth="1"/>
    <col min="3089" max="3090" width="9.140625" style="2"/>
    <col min="3091" max="3091" width="6.7109375" style="2" customWidth="1"/>
    <col min="3092" max="3092" width="8.42578125" style="2" customWidth="1"/>
    <col min="3093" max="3099" width="14.42578125" style="2" customWidth="1"/>
    <col min="3100" max="3100" width="71.7109375" style="2" customWidth="1"/>
    <col min="3101" max="3330" width="9.140625" style="2"/>
    <col min="3331" max="3331" width="7.42578125" style="2" customWidth="1"/>
    <col min="3332" max="3335" width="14" style="2" customWidth="1"/>
    <col min="3336" max="3337" width="8.42578125" style="2" customWidth="1"/>
    <col min="3338" max="3343" width="9.140625" style="2"/>
    <col min="3344" max="3344" width="10.140625" style="2" bestFit="1" customWidth="1"/>
    <col min="3345" max="3346" width="9.140625" style="2"/>
    <col min="3347" max="3347" width="6.7109375" style="2" customWidth="1"/>
    <col min="3348" max="3348" width="8.42578125" style="2" customWidth="1"/>
    <col min="3349" max="3355" width="14.42578125" style="2" customWidth="1"/>
    <col min="3356" max="3356" width="71.7109375" style="2" customWidth="1"/>
    <col min="3357" max="3586" width="9.140625" style="2"/>
    <col min="3587" max="3587" width="7.42578125" style="2" customWidth="1"/>
    <col min="3588" max="3591" width="14" style="2" customWidth="1"/>
    <col min="3592" max="3593" width="8.42578125" style="2" customWidth="1"/>
    <col min="3594" max="3599" width="9.140625" style="2"/>
    <col min="3600" max="3600" width="10.140625" style="2" bestFit="1" customWidth="1"/>
    <col min="3601" max="3602" width="9.140625" style="2"/>
    <col min="3603" max="3603" width="6.7109375" style="2" customWidth="1"/>
    <col min="3604" max="3604" width="8.42578125" style="2" customWidth="1"/>
    <col min="3605" max="3611" width="14.42578125" style="2" customWidth="1"/>
    <col min="3612" max="3612" width="71.7109375" style="2" customWidth="1"/>
    <col min="3613" max="3842" width="9.140625" style="2"/>
    <col min="3843" max="3843" width="7.42578125" style="2" customWidth="1"/>
    <col min="3844" max="3847" width="14" style="2" customWidth="1"/>
    <col min="3848" max="3849" width="8.42578125" style="2" customWidth="1"/>
    <col min="3850" max="3855" width="9.140625" style="2"/>
    <col min="3856" max="3856" width="10.140625" style="2" bestFit="1" customWidth="1"/>
    <col min="3857" max="3858" width="9.140625" style="2"/>
    <col min="3859" max="3859" width="6.7109375" style="2" customWidth="1"/>
    <col min="3860" max="3860" width="8.42578125" style="2" customWidth="1"/>
    <col min="3861" max="3867" width="14.42578125" style="2" customWidth="1"/>
    <col min="3868" max="3868" width="71.7109375" style="2" customWidth="1"/>
    <col min="3869" max="4098" width="9.140625" style="2"/>
    <col min="4099" max="4099" width="7.42578125" style="2" customWidth="1"/>
    <col min="4100" max="4103" width="14" style="2" customWidth="1"/>
    <col min="4104" max="4105" width="8.42578125" style="2" customWidth="1"/>
    <col min="4106" max="4111" width="9.140625" style="2"/>
    <col min="4112" max="4112" width="10.140625" style="2" bestFit="1" customWidth="1"/>
    <col min="4113" max="4114" width="9.140625" style="2"/>
    <col min="4115" max="4115" width="6.7109375" style="2" customWidth="1"/>
    <col min="4116" max="4116" width="8.42578125" style="2" customWidth="1"/>
    <col min="4117" max="4123" width="14.42578125" style="2" customWidth="1"/>
    <col min="4124" max="4124" width="71.7109375" style="2" customWidth="1"/>
    <col min="4125" max="4354" width="9.140625" style="2"/>
    <col min="4355" max="4355" width="7.42578125" style="2" customWidth="1"/>
    <col min="4356" max="4359" width="14" style="2" customWidth="1"/>
    <col min="4360" max="4361" width="8.42578125" style="2" customWidth="1"/>
    <col min="4362" max="4367" width="9.140625" style="2"/>
    <col min="4368" max="4368" width="10.140625" style="2" bestFit="1" customWidth="1"/>
    <col min="4369" max="4370" width="9.140625" style="2"/>
    <col min="4371" max="4371" width="6.7109375" style="2" customWidth="1"/>
    <col min="4372" max="4372" width="8.42578125" style="2" customWidth="1"/>
    <col min="4373" max="4379" width="14.42578125" style="2" customWidth="1"/>
    <col min="4380" max="4380" width="71.7109375" style="2" customWidth="1"/>
    <col min="4381" max="4610" width="9.140625" style="2"/>
    <col min="4611" max="4611" width="7.42578125" style="2" customWidth="1"/>
    <col min="4612" max="4615" width="14" style="2" customWidth="1"/>
    <col min="4616" max="4617" width="8.42578125" style="2" customWidth="1"/>
    <col min="4618" max="4623" width="9.140625" style="2"/>
    <col min="4624" max="4624" width="10.140625" style="2" bestFit="1" customWidth="1"/>
    <col min="4625" max="4626" width="9.140625" style="2"/>
    <col min="4627" max="4627" width="6.7109375" style="2" customWidth="1"/>
    <col min="4628" max="4628" width="8.42578125" style="2" customWidth="1"/>
    <col min="4629" max="4635" width="14.42578125" style="2" customWidth="1"/>
    <col min="4636" max="4636" width="71.7109375" style="2" customWidth="1"/>
    <col min="4637" max="4866" width="9.140625" style="2"/>
    <col min="4867" max="4867" width="7.42578125" style="2" customWidth="1"/>
    <col min="4868" max="4871" width="14" style="2" customWidth="1"/>
    <col min="4872" max="4873" width="8.42578125" style="2" customWidth="1"/>
    <col min="4874" max="4879" width="9.140625" style="2"/>
    <col min="4880" max="4880" width="10.140625" style="2" bestFit="1" customWidth="1"/>
    <col min="4881" max="4882" width="9.140625" style="2"/>
    <col min="4883" max="4883" width="6.7109375" style="2" customWidth="1"/>
    <col min="4884" max="4884" width="8.42578125" style="2" customWidth="1"/>
    <col min="4885" max="4891" width="14.42578125" style="2" customWidth="1"/>
    <col min="4892" max="4892" width="71.7109375" style="2" customWidth="1"/>
    <col min="4893" max="5122" width="9.140625" style="2"/>
    <col min="5123" max="5123" width="7.42578125" style="2" customWidth="1"/>
    <col min="5124" max="5127" width="14" style="2" customWidth="1"/>
    <col min="5128" max="5129" width="8.42578125" style="2" customWidth="1"/>
    <col min="5130" max="5135" width="9.140625" style="2"/>
    <col min="5136" max="5136" width="10.140625" style="2" bestFit="1" customWidth="1"/>
    <col min="5137" max="5138" width="9.140625" style="2"/>
    <col min="5139" max="5139" width="6.7109375" style="2" customWidth="1"/>
    <col min="5140" max="5140" width="8.42578125" style="2" customWidth="1"/>
    <col min="5141" max="5147" width="14.42578125" style="2" customWidth="1"/>
    <col min="5148" max="5148" width="71.7109375" style="2" customWidth="1"/>
    <col min="5149" max="5378" width="9.140625" style="2"/>
    <col min="5379" max="5379" width="7.42578125" style="2" customWidth="1"/>
    <col min="5380" max="5383" width="14" style="2" customWidth="1"/>
    <col min="5384" max="5385" width="8.42578125" style="2" customWidth="1"/>
    <col min="5386" max="5391" width="9.140625" style="2"/>
    <col min="5392" max="5392" width="10.140625" style="2" bestFit="1" customWidth="1"/>
    <col min="5393" max="5394" width="9.140625" style="2"/>
    <col min="5395" max="5395" width="6.7109375" style="2" customWidth="1"/>
    <col min="5396" max="5396" width="8.42578125" style="2" customWidth="1"/>
    <col min="5397" max="5403" width="14.42578125" style="2" customWidth="1"/>
    <col min="5404" max="5404" width="71.7109375" style="2" customWidth="1"/>
    <col min="5405" max="5634" width="9.140625" style="2"/>
    <col min="5635" max="5635" width="7.42578125" style="2" customWidth="1"/>
    <col min="5636" max="5639" width="14" style="2" customWidth="1"/>
    <col min="5640" max="5641" width="8.42578125" style="2" customWidth="1"/>
    <col min="5642" max="5647" width="9.140625" style="2"/>
    <col min="5648" max="5648" width="10.140625" style="2" bestFit="1" customWidth="1"/>
    <col min="5649" max="5650" width="9.140625" style="2"/>
    <col min="5651" max="5651" width="6.7109375" style="2" customWidth="1"/>
    <col min="5652" max="5652" width="8.42578125" style="2" customWidth="1"/>
    <col min="5653" max="5659" width="14.42578125" style="2" customWidth="1"/>
    <col min="5660" max="5660" width="71.7109375" style="2" customWidth="1"/>
    <col min="5661" max="5890" width="9.140625" style="2"/>
    <col min="5891" max="5891" width="7.42578125" style="2" customWidth="1"/>
    <col min="5892" max="5895" width="14" style="2" customWidth="1"/>
    <col min="5896" max="5897" width="8.42578125" style="2" customWidth="1"/>
    <col min="5898" max="5903" width="9.140625" style="2"/>
    <col min="5904" max="5904" width="10.140625" style="2" bestFit="1" customWidth="1"/>
    <col min="5905" max="5906" width="9.140625" style="2"/>
    <col min="5907" max="5907" width="6.7109375" style="2" customWidth="1"/>
    <col min="5908" max="5908" width="8.42578125" style="2" customWidth="1"/>
    <col min="5909" max="5915" width="14.42578125" style="2" customWidth="1"/>
    <col min="5916" max="5916" width="71.7109375" style="2" customWidth="1"/>
    <col min="5917" max="6146" width="9.140625" style="2"/>
    <col min="6147" max="6147" width="7.42578125" style="2" customWidth="1"/>
    <col min="6148" max="6151" width="14" style="2" customWidth="1"/>
    <col min="6152" max="6153" width="8.42578125" style="2" customWidth="1"/>
    <col min="6154" max="6159" width="9.140625" style="2"/>
    <col min="6160" max="6160" width="10.140625" style="2" bestFit="1" customWidth="1"/>
    <col min="6161" max="6162" width="9.140625" style="2"/>
    <col min="6163" max="6163" width="6.7109375" style="2" customWidth="1"/>
    <col min="6164" max="6164" width="8.42578125" style="2" customWidth="1"/>
    <col min="6165" max="6171" width="14.42578125" style="2" customWidth="1"/>
    <col min="6172" max="6172" width="71.7109375" style="2" customWidth="1"/>
    <col min="6173" max="6402" width="9.140625" style="2"/>
    <col min="6403" max="6403" width="7.42578125" style="2" customWidth="1"/>
    <col min="6404" max="6407" width="14" style="2" customWidth="1"/>
    <col min="6408" max="6409" width="8.42578125" style="2" customWidth="1"/>
    <col min="6410" max="6415" width="9.140625" style="2"/>
    <col min="6416" max="6416" width="10.140625" style="2" bestFit="1" customWidth="1"/>
    <col min="6417" max="6418" width="9.140625" style="2"/>
    <col min="6419" max="6419" width="6.7109375" style="2" customWidth="1"/>
    <col min="6420" max="6420" width="8.42578125" style="2" customWidth="1"/>
    <col min="6421" max="6427" width="14.42578125" style="2" customWidth="1"/>
    <col min="6428" max="6428" width="71.7109375" style="2" customWidth="1"/>
    <col min="6429" max="6658" width="9.140625" style="2"/>
    <col min="6659" max="6659" width="7.42578125" style="2" customWidth="1"/>
    <col min="6660" max="6663" width="14" style="2" customWidth="1"/>
    <col min="6664" max="6665" width="8.42578125" style="2" customWidth="1"/>
    <col min="6666" max="6671" width="9.140625" style="2"/>
    <col min="6672" max="6672" width="10.140625" style="2" bestFit="1" customWidth="1"/>
    <col min="6673" max="6674" width="9.140625" style="2"/>
    <col min="6675" max="6675" width="6.7109375" style="2" customWidth="1"/>
    <col min="6676" max="6676" width="8.42578125" style="2" customWidth="1"/>
    <col min="6677" max="6683" width="14.42578125" style="2" customWidth="1"/>
    <col min="6684" max="6684" width="71.7109375" style="2" customWidth="1"/>
    <col min="6685" max="6914" width="9.140625" style="2"/>
    <col min="6915" max="6915" width="7.42578125" style="2" customWidth="1"/>
    <col min="6916" max="6919" width="14" style="2" customWidth="1"/>
    <col min="6920" max="6921" width="8.42578125" style="2" customWidth="1"/>
    <col min="6922" max="6927" width="9.140625" style="2"/>
    <col min="6928" max="6928" width="10.140625" style="2" bestFit="1" customWidth="1"/>
    <col min="6929" max="6930" width="9.140625" style="2"/>
    <col min="6931" max="6931" width="6.7109375" style="2" customWidth="1"/>
    <col min="6932" max="6932" width="8.42578125" style="2" customWidth="1"/>
    <col min="6933" max="6939" width="14.42578125" style="2" customWidth="1"/>
    <col min="6940" max="6940" width="71.7109375" style="2" customWidth="1"/>
    <col min="6941" max="7170" width="9.140625" style="2"/>
    <col min="7171" max="7171" width="7.42578125" style="2" customWidth="1"/>
    <col min="7172" max="7175" width="14" style="2" customWidth="1"/>
    <col min="7176" max="7177" width="8.42578125" style="2" customWidth="1"/>
    <col min="7178" max="7183" width="9.140625" style="2"/>
    <col min="7184" max="7184" width="10.140625" style="2" bestFit="1" customWidth="1"/>
    <col min="7185" max="7186" width="9.140625" style="2"/>
    <col min="7187" max="7187" width="6.7109375" style="2" customWidth="1"/>
    <col min="7188" max="7188" width="8.42578125" style="2" customWidth="1"/>
    <col min="7189" max="7195" width="14.42578125" style="2" customWidth="1"/>
    <col min="7196" max="7196" width="71.7109375" style="2" customWidth="1"/>
    <col min="7197" max="7426" width="9.140625" style="2"/>
    <col min="7427" max="7427" width="7.42578125" style="2" customWidth="1"/>
    <col min="7428" max="7431" width="14" style="2" customWidth="1"/>
    <col min="7432" max="7433" width="8.42578125" style="2" customWidth="1"/>
    <col min="7434" max="7439" width="9.140625" style="2"/>
    <col min="7440" max="7440" width="10.140625" style="2" bestFit="1" customWidth="1"/>
    <col min="7441" max="7442" width="9.140625" style="2"/>
    <col min="7443" max="7443" width="6.7109375" style="2" customWidth="1"/>
    <col min="7444" max="7444" width="8.42578125" style="2" customWidth="1"/>
    <col min="7445" max="7451" width="14.42578125" style="2" customWidth="1"/>
    <col min="7452" max="7452" width="71.7109375" style="2" customWidth="1"/>
    <col min="7453" max="7682" width="9.140625" style="2"/>
    <col min="7683" max="7683" width="7.42578125" style="2" customWidth="1"/>
    <col min="7684" max="7687" width="14" style="2" customWidth="1"/>
    <col min="7688" max="7689" width="8.42578125" style="2" customWidth="1"/>
    <col min="7690" max="7695" width="9.140625" style="2"/>
    <col min="7696" max="7696" width="10.140625" style="2" bestFit="1" customWidth="1"/>
    <col min="7697" max="7698" width="9.140625" style="2"/>
    <col min="7699" max="7699" width="6.7109375" style="2" customWidth="1"/>
    <col min="7700" max="7700" width="8.42578125" style="2" customWidth="1"/>
    <col min="7701" max="7707" width="14.42578125" style="2" customWidth="1"/>
    <col min="7708" max="7708" width="71.7109375" style="2" customWidth="1"/>
    <col min="7709" max="7938" width="9.140625" style="2"/>
    <col min="7939" max="7939" width="7.42578125" style="2" customWidth="1"/>
    <col min="7940" max="7943" width="14" style="2" customWidth="1"/>
    <col min="7944" max="7945" width="8.42578125" style="2" customWidth="1"/>
    <col min="7946" max="7951" width="9.140625" style="2"/>
    <col min="7952" max="7952" width="10.140625" style="2" bestFit="1" customWidth="1"/>
    <col min="7953" max="7954" width="9.140625" style="2"/>
    <col min="7955" max="7955" width="6.7109375" style="2" customWidth="1"/>
    <col min="7956" max="7956" width="8.42578125" style="2" customWidth="1"/>
    <col min="7957" max="7963" width="14.42578125" style="2" customWidth="1"/>
    <col min="7964" max="7964" width="71.7109375" style="2" customWidth="1"/>
    <col min="7965" max="8194" width="9.140625" style="2"/>
    <col min="8195" max="8195" width="7.42578125" style="2" customWidth="1"/>
    <col min="8196" max="8199" width="14" style="2" customWidth="1"/>
    <col min="8200" max="8201" width="8.42578125" style="2" customWidth="1"/>
    <col min="8202" max="8207" width="9.140625" style="2"/>
    <col min="8208" max="8208" width="10.140625" style="2" bestFit="1" customWidth="1"/>
    <col min="8209" max="8210" width="9.140625" style="2"/>
    <col min="8211" max="8211" width="6.7109375" style="2" customWidth="1"/>
    <col min="8212" max="8212" width="8.42578125" style="2" customWidth="1"/>
    <col min="8213" max="8219" width="14.42578125" style="2" customWidth="1"/>
    <col min="8220" max="8220" width="71.7109375" style="2" customWidth="1"/>
    <col min="8221" max="8450" width="9.140625" style="2"/>
    <col min="8451" max="8451" width="7.42578125" style="2" customWidth="1"/>
    <col min="8452" max="8455" width="14" style="2" customWidth="1"/>
    <col min="8456" max="8457" width="8.42578125" style="2" customWidth="1"/>
    <col min="8458" max="8463" width="9.140625" style="2"/>
    <col min="8464" max="8464" width="10.140625" style="2" bestFit="1" customWidth="1"/>
    <col min="8465" max="8466" width="9.140625" style="2"/>
    <col min="8467" max="8467" width="6.7109375" style="2" customWidth="1"/>
    <col min="8468" max="8468" width="8.42578125" style="2" customWidth="1"/>
    <col min="8469" max="8475" width="14.42578125" style="2" customWidth="1"/>
    <col min="8476" max="8476" width="71.7109375" style="2" customWidth="1"/>
    <col min="8477" max="8706" width="9.140625" style="2"/>
    <col min="8707" max="8707" width="7.42578125" style="2" customWidth="1"/>
    <col min="8708" max="8711" width="14" style="2" customWidth="1"/>
    <col min="8712" max="8713" width="8.42578125" style="2" customWidth="1"/>
    <col min="8714" max="8719" width="9.140625" style="2"/>
    <col min="8720" max="8720" width="10.140625" style="2" bestFit="1" customWidth="1"/>
    <col min="8721" max="8722" width="9.140625" style="2"/>
    <col min="8723" max="8723" width="6.7109375" style="2" customWidth="1"/>
    <col min="8724" max="8724" width="8.42578125" style="2" customWidth="1"/>
    <col min="8725" max="8731" width="14.42578125" style="2" customWidth="1"/>
    <col min="8732" max="8732" width="71.7109375" style="2" customWidth="1"/>
    <col min="8733" max="8962" width="9.140625" style="2"/>
    <col min="8963" max="8963" width="7.42578125" style="2" customWidth="1"/>
    <col min="8964" max="8967" width="14" style="2" customWidth="1"/>
    <col min="8968" max="8969" width="8.42578125" style="2" customWidth="1"/>
    <col min="8970" max="8975" width="9.140625" style="2"/>
    <col min="8976" max="8976" width="10.140625" style="2" bestFit="1" customWidth="1"/>
    <col min="8977" max="8978" width="9.140625" style="2"/>
    <col min="8979" max="8979" width="6.7109375" style="2" customWidth="1"/>
    <col min="8980" max="8980" width="8.42578125" style="2" customWidth="1"/>
    <col min="8981" max="8987" width="14.42578125" style="2" customWidth="1"/>
    <col min="8988" max="8988" width="71.7109375" style="2" customWidth="1"/>
    <col min="8989" max="9218" width="9.140625" style="2"/>
    <col min="9219" max="9219" width="7.42578125" style="2" customWidth="1"/>
    <col min="9220" max="9223" width="14" style="2" customWidth="1"/>
    <col min="9224" max="9225" width="8.42578125" style="2" customWidth="1"/>
    <col min="9226" max="9231" width="9.140625" style="2"/>
    <col min="9232" max="9232" width="10.140625" style="2" bestFit="1" customWidth="1"/>
    <col min="9233" max="9234" width="9.140625" style="2"/>
    <col min="9235" max="9235" width="6.7109375" style="2" customWidth="1"/>
    <col min="9236" max="9236" width="8.42578125" style="2" customWidth="1"/>
    <col min="9237" max="9243" width="14.42578125" style="2" customWidth="1"/>
    <col min="9244" max="9244" width="71.7109375" style="2" customWidth="1"/>
    <col min="9245" max="9474" width="9.140625" style="2"/>
    <col min="9475" max="9475" width="7.42578125" style="2" customWidth="1"/>
    <col min="9476" max="9479" width="14" style="2" customWidth="1"/>
    <col min="9480" max="9481" width="8.42578125" style="2" customWidth="1"/>
    <col min="9482" max="9487" width="9.140625" style="2"/>
    <col min="9488" max="9488" width="10.140625" style="2" bestFit="1" customWidth="1"/>
    <col min="9489" max="9490" width="9.140625" style="2"/>
    <col min="9491" max="9491" width="6.7109375" style="2" customWidth="1"/>
    <col min="9492" max="9492" width="8.42578125" style="2" customWidth="1"/>
    <col min="9493" max="9499" width="14.42578125" style="2" customWidth="1"/>
    <col min="9500" max="9500" width="71.7109375" style="2" customWidth="1"/>
    <col min="9501" max="9730" width="9.140625" style="2"/>
    <col min="9731" max="9731" width="7.42578125" style="2" customWidth="1"/>
    <col min="9732" max="9735" width="14" style="2" customWidth="1"/>
    <col min="9736" max="9737" width="8.42578125" style="2" customWidth="1"/>
    <col min="9738" max="9743" width="9.140625" style="2"/>
    <col min="9744" max="9744" width="10.140625" style="2" bestFit="1" customWidth="1"/>
    <col min="9745" max="9746" width="9.140625" style="2"/>
    <col min="9747" max="9747" width="6.7109375" style="2" customWidth="1"/>
    <col min="9748" max="9748" width="8.42578125" style="2" customWidth="1"/>
    <col min="9749" max="9755" width="14.42578125" style="2" customWidth="1"/>
    <col min="9756" max="9756" width="71.7109375" style="2" customWidth="1"/>
    <col min="9757" max="9986" width="9.140625" style="2"/>
    <col min="9987" max="9987" width="7.42578125" style="2" customWidth="1"/>
    <col min="9988" max="9991" width="14" style="2" customWidth="1"/>
    <col min="9992" max="9993" width="8.42578125" style="2" customWidth="1"/>
    <col min="9994" max="9999" width="9.140625" style="2"/>
    <col min="10000" max="10000" width="10.140625" style="2" bestFit="1" customWidth="1"/>
    <col min="10001" max="10002" width="9.140625" style="2"/>
    <col min="10003" max="10003" width="6.7109375" style="2" customWidth="1"/>
    <col min="10004" max="10004" width="8.42578125" style="2" customWidth="1"/>
    <col min="10005" max="10011" width="14.42578125" style="2" customWidth="1"/>
    <col min="10012" max="10012" width="71.7109375" style="2" customWidth="1"/>
    <col min="10013" max="10242" width="9.140625" style="2"/>
    <col min="10243" max="10243" width="7.42578125" style="2" customWidth="1"/>
    <col min="10244" max="10247" width="14" style="2" customWidth="1"/>
    <col min="10248" max="10249" width="8.42578125" style="2" customWidth="1"/>
    <col min="10250" max="10255" width="9.140625" style="2"/>
    <col min="10256" max="10256" width="10.140625" style="2" bestFit="1" customWidth="1"/>
    <col min="10257" max="10258" width="9.140625" style="2"/>
    <col min="10259" max="10259" width="6.7109375" style="2" customWidth="1"/>
    <col min="10260" max="10260" width="8.42578125" style="2" customWidth="1"/>
    <col min="10261" max="10267" width="14.42578125" style="2" customWidth="1"/>
    <col min="10268" max="10268" width="71.7109375" style="2" customWidth="1"/>
    <col min="10269" max="10498" width="9.140625" style="2"/>
    <col min="10499" max="10499" width="7.42578125" style="2" customWidth="1"/>
    <col min="10500" max="10503" width="14" style="2" customWidth="1"/>
    <col min="10504" max="10505" width="8.42578125" style="2" customWidth="1"/>
    <col min="10506" max="10511" width="9.140625" style="2"/>
    <col min="10512" max="10512" width="10.140625" style="2" bestFit="1" customWidth="1"/>
    <col min="10513" max="10514" width="9.140625" style="2"/>
    <col min="10515" max="10515" width="6.7109375" style="2" customWidth="1"/>
    <col min="10516" max="10516" width="8.42578125" style="2" customWidth="1"/>
    <col min="10517" max="10523" width="14.42578125" style="2" customWidth="1"/>
    <col min="10524" max="10524" width="71.7109375" style="2" customWidth="1"/>
    <col min="10525" max="10754" width="9.140625" style="2"/>
    <col min="10755" max="10755" width="7.42578125" style="2" customWidth="1"/>
    <col min="10756" max="10759" width="14" style="2" customWidth="1"/>
    <col min="10760" max="10761" width="8.42578125" style="2" customWidth="1"/>
    <col min="10762" max="10767" width="9.140625" style="2"/>
    <col min="10768" max="10768" width="10.140625" style="2" bestFit="1" customWidth="1"/>
    <col min="10769" max="10770" width="9.140625" style="2"/>
    <col min="10771" max="10771" width="6.7109375" style="2" customWidth="1"/>
    <col min="10772" max="10772" width="8.42578125" style="2" customWidth="1"/>
    <col min="10773" max="10779" width="14.42578125" style="2" customWidth="1"/>
    <col min="10780" max="10780" width="71.7109375" style="2" customWidth="1"/>
    <col min="10781" max="11010" width="9.140625" style="2"/>
    <col min="11011" max="11011" width="7.42578125" style="2" customWidth="1"/>
    <col min="11012" max="11015" width="14" style="2" customWidth="1"/>
    <col min="11016" max="11017" width="8.42578125" style="2" customWidth="1"/>
    <col min="11018" max="11023" width="9.140625" style="2"/>
    <col min="11024" max="11024" width="10.140625" style="2" bestFit="1" customWidth="1"/>
    <col min="11025" max="11026" width="9.140625" style="2"/>
    <col min="11027" max="11027" width="6.7109375" style="2" customWidth="1"/>
    <col min="11028" max="11028" width="8.42578125" style="2" customWidth="1"/>
    <col min="11029" max="11035" width="14.42578125" style="2" customWidth="1"/>
    <col min="11036" max="11036" width="71.7109375" style="2" customWidth="1"/>
    <col min="11037" max="11266" width="9.140625" style="2"/>
    <col min="11267" max="11267" width="7.42578125" style="2" customWidth="1"/>
    <col min="11268" max="11271" width="14" style="2" customWidth="1"/>
    <col min="11272" max="11273" width="8.42578125" style="2" customWidth="1"/>
    <col min="11274" max="11279" width="9.140625" style="2"/>
    <col min="11280" max="11280" width="10.140625" style="2" bestFit="1" customWidth="1"/>
    <col min="11281" max="11282" width="9.140625" style="2"/>
    <col min="11283" max="11283" width="6.7109375" style="2" customWidth="1"/>
    <col min="11284" max="11284" width="8.42578125" style="2" customWidth="1"/>
    <col min="11285" max="11291" width="14.42578125" style="2" customWidth="1"/>
    <col min="11292" max="11292" width="71.7109375" style="2" customWidth="1"/>
    <col min="11293" max="11522" width="9.140625" style="2"/>
    <col min="11523" max="11523" width="7.42578125" style="2" customWidth="1"/>
    <col min="11524" max="11527" width="14" style="2" customWidth="1"/>
    <col min="11528" max="11529" width="8.42578125" style="2" customWidth="1"/>
    <col min="11530" max="11535" width="9.140625" style="2"/>
    <col min="11536" max="11536" width="10.140625" style="2" bestFit="1" customWidth="1"/>
    <col min="11537" max="11538" width="9.140625" style="2"/>
    <col min="11539" max="11539" width="6.7109375" style="2" customWidth="1"/>
    <col min="11540" max="11540" width="8.42578125" style="2" customWidth="1"/>
    <col min="11541" max="11547" width="14.42578125" style="2" customWidth="1"/>
    <col min="11548" max="11548" width="71.7109375" style="2" customWidth="1"/>
    <col min="11549" max="11778" width="9.140625" style="2"/>
    <col min="11779" max="11779" width="7.42578125" style="2" customWidth="1"/>
    <col min="11780" max="11783" width="14" style="2" customWidth="1"/>
    <col min="11784" max="11785" width="8.42578125" style="2" customWidth="1"/>
    <col min="11786" max="11791" width="9.140625" style="2"/>
    <col min="11792" max="11792" width="10.140625" style="2" bestFit="1" customWidth="1"/>
    <col min="11793" max="11794" width="9.140625" style="2"/>
    <col min="11795" max="11795" width="6.7109375" style="2" customWidth="1"/>
    <col min="11796" max="11796" width="8.42578125" style="2" customWidth="1"/>
    <col min="11797" max="11803" width="14.42578125" style="2" customWidth="1"/>
    <col min="11804" max="11804" width="71.7109375" style="2" customWidth="1"/>
    <col min="11805" max="12034" width="9.140625" style="2"/>
    <col min="12035" max="12035" width="7.42578125" style="2" customWidth="1"/>
    <col min="12036" max="12039" width="14" style="2" customWidth="1"/>
    <col min="12040" max="12041" width="8.42578125" style="2" customWidth="1"/>
    <col min="12042" max="12047" width="9.140625" style="2"/>
    <col min="12048" max="12048" width="10.140625" style="2" bestFit="1" customWidth="1"/>
    <col min="12049" max="12050" width="9.140625" style="2"/>
    <col min="12051" max="12051" width="6.7109375" style="2" customWidth="1"/>
    <col min="12052" max="12052" width="8.42578125" style="2" customWidth="1"/>
    <col min="12053" max="12059" width="14.42578125" style="2" customWidth="1"/>
    <col min="12060" max="12060" width="71.7109375" style="2" customWidth="1"/>
    <col min="12061" max="12290" width="9.140625" style="2"/>
    <col min="12291" max="12291" width="7.42578125" style="2" customWidth="1"/>
    <col min="12292" max="12295" width="14" style="2" customWidth="1"/>
    <col min="12296" max="12297" width="8.42578125" style="2" customWidth="1"/>
    <col min="12298" max="12303" width="9.140625" style="2"/>
    <col min="12304" max="12304" width="10.140625" style="2" bestFit="1" customWidth="1"/>
    <col min="12305" max="12306" width="9.140625" style="2"/>
    <col min="12307" max="12307" width="6.7109375" style="2" customWidth="1"/>
    <col min="12308" max="12308" width="8.42578125" style="2" customWidth="1"/>
    <col min="12309" max="12315" width="14.42578125" style="2" customWidth="1"/>
    <col min="12316" max="12316" width="71.7109375" style="2" customWidth="1"/>
    <col min="12317" max="12546" width="9.140625" style="2"/>
    <col min="12547" max="12547" width="7.42578125" style="2" customWidth="1"/>
    <col min="12548" max="12551" width="14" style="2" customWidth="1"/>
    <col min="12552" max="12553" width="8.42578125" style="2" customWidth="1"/>
    <col min="12554" max="12559" width="9.140625" style="2"/>
    <col min="12560" max="12560" width="10.140625" style="2" bestFit="1" customWidth="1"/>
    <col min="12561" max="12562" width="9.140625" style="2"/>
    <col min="12563" max="12563" width="6.7109375" style="2" customWidth="1"/>
    <col min="12564" max="12564" width="8.42578125" style="2" customWidth="1"/>
    <col min="12565" max="12571" width="14.42578125" style="2" customWidth="1"/>
    <col min="12572" max="12572" width="71.7109375" style="2" customWidth="1"/>
    <col min="12573" max="12802" width="9.140625" style="2"/>
    <col min="12803" max="12803" width="7.42578125" style="2" customWidth="1"/>
    <col min="12804" max="12807" width="14" style="2" customWidth="1"/>
    <col min="12808" max="12809" width="8.42578125" style="2" customWidth="1"/>
    <col min="12810" max="12815" width="9.140625" style="2"/>
    <col min="12816" max="12816" width="10.140625" style="2" bestFit="1" customWidth="1"/>
    <col min="12817" max="12818" width="9.140625" style="2"/>
    <col min="12819" max="12819" width="6.7109375" style="2" customWidth="1"/>
    <col min="12820" max="12820" width="8.42578125" style="2" customWidth="1"/>
    <col min="12821" max="12827" width="14.42578125" style="2" customWidth="1"/>
    <col min="12828" max="12828" width="71.7109375" style="2" customWidth="1"/>
    <col min="12829" max="13058" width="9.140625" style="2"/>
    <col min="13059" max="13059" width="7.42578125" style="2" customWidth="1"/>
    <col min="13060" max="13063" width="14" style="2" customWidth="1"/>
    <col min="13064" max="13065" width="8.42578125" style="2" customWidth="1"/>
    <col min="13066" max="13071" width="9.140625" style="2"/>
    <col min="13072" max="13072" width="10.140625" style="2" bestFit="1" customWidth="1"/>
    <col min="13073" max="13074" width="9.140625" style="2"/>
    <col min="13075" max="13075" width="6.7109375" style="2" customWidth="1"/>
    <col min="13076" max="13076" width="8.42578125" style="2" customWidth="1"/>
    <col min="13077" max="13083" width="14.42578125" style="2" customWidth="1"/>
    <col min="13084" max="13084" width="71.7109375" style="2" customWidth="1"/>
    <col min="13085" max="13314" width="9.140625" style="2"/>
    <col min="13315" max="13315" width="7.42578125" style="2" customWidth="1"/>
    <col min="13316" max="13319" width="14" style="2" customWidth="1"/>
    <col min="13320" max="13321" width="8.42578125" style="2" customWidth="1"/>
    <col min="13322" max="13327" width="9.140625" style="2"/>
    <col min="13328" max="13328" width="10.140625" style="2" bestFit="1" customWidth="1"/>
    <col min="13329" max="13330" width="9.140625" style="2"/>
    <col min="13331" max="13331" width="6.7109375" style="2" customWidth="1"/>
    <col min="13332" max="13332" width="8.42578125" style="2" customWidth="1"/>
    <col min="13333" max="13339" width="14.42578125" style="2" customWidth="1"/>
    <col min="13340" max="13340" width="71.7109375" style="2" customWidth="1"/>
    <col min="13341" max="13570" width="9.140625" style="2"/>
    <col min="13571" max="13571" width="7.42578125" style="2" customWidth="1"/>
    <col min="13572" max="13575" width="14" style="2" customWidth="1"/>
    <col min="13576" max="13577" width="8.42578125" style="2" customWidth="1"/>
    <col min="13578" max="13583" width="9.140625" style="2"/>
    <col min="13584" max="13584" width="10.140625" style="2" bestFit="1" customWidth="1"/>
    <col min="13585" max="13586" width="9.140625" style="2"/>
    <col min="13587" max="13587" width="6.7109375" style="2" customWidth="1"/>
    <col min="13588" max="13588" width="8.42578125" style="2" customWidth="1"/>
    <col min="13589" max="13595" width="14.42578125" style="2" customWidth="1"/>
    <col min="13596" max="13596" width="71.7109375" style="2" customWidth="1"/>
    <col min="13597" max="13826" width="9.140625" style="2"/>
    <col min="13827" max="13827" width="7.42578125" style="2" customWidth="1"/>
    <col min="13828" max="13831" width="14" style="2" customWidth="1"/>
    <col min="13832" max="13833" width="8.42578125" style="2" customWidth="1"/>
    <col min="13834" max="13839" width="9.140625" style="2"/>
    <col min="13840" max="13840" width="10.140625" style="2" bestFit="1" customWidth="1"/>
    <col min="13841" max="13842" width="9.140625" style="2"/>
    <col min="13843" max="13843" width="6.7109375" style="2" customWidth="1"/>
    <col min="13844" max="13844" width="8.42578125" style="2" customWidth="1"/>
    <col min="13845" max="13851" width="14.42578125" style="2" customWidth="1"/>
    <col min="13852" max="13852" width="71.7109375" style="2" customWidth="1"/>
    <col min="13853" max="14082" width="9.140625" style="2"/>
    <col min="14083" max="14083" width="7.42578125" style="2" customWidth="1"/>
    <col min="14084" max="14087" width="14" style="2" customWidth="1"/>
    <col min="14088" max="14089" width="8.42578125" style="2" customWidth="1"/>
    <col min="14090" max="14095" width="9.140625" style="2"/>
    <col min="14096" max="14096" width="10.140625" style="2" bestFit="1" customWidth="1"/>
    <col min="14097" max="14098" width="9.140625" style="2"/>
    <col min="14099" max="14099" width="6.7109375" style="2" customWidth="1"/>
    <col min="14100" max="14100" width="8.42578125" style="2" customWidth="1"/>
    <col min="14101" max="14107" width="14.42578125" style="2" customWidth="1"/>
    <col min="14108" max="14108" width="71.7109375" style="2" customWidth="1"/>
    <col min="14109" max="14338" width="9.140625" style="2"/>
    <col min="14339" max="14339" width="7.42578125" style="2" customWidth="1"/>
    <col min="14340" max="14343" width="14" style="2" customWidth="1"/>
    <col min="14344" max="14345" width="8.42578125" style="2" customWidth="1"/>
    <col min="14346" max="14351" width="9.140625" style="2"/>
    <col min="14352" max="14352" width="10.140625" style="2" bestFit="1" customWidth="1"/>
    <col min="14353" max="14354" width="9.140625" style="2"/>
    <col min="14355" max="14355" width="6.7109375" style="2" customWidth="1"/>
    <col min="14356" max="14356" width="8.42578125" style="2" customWidth="1"/>
    <col min="14357" max="14363" width="14.42578125" style="2" customWidth="1"/>
    <col min="14364" max="14364" width="71.7109375" style="2" customWidth="1"/>
    <col min="14365" max="14594" width="9.140625" style="2"/>
    <col min="14595" max="14595" width="7.42578125" style="2" customWidth="1"/>
    <col min="14596" max="14599" width="14" style="2" customWidth="1"/>
    <col min="14600" max="14601" width="8.42578125" style="2" customWidth="1"/>
    <col min="14602" max="14607" width="9.140625" style="2"/>
    <col min="14608" max="14608" width="10.140625" style="2" bestFit="1" customWidth="1"/>
    <col min="14609" max="14610" width="9.140625" style="2"/>
    <col min="14611" max="14611" width="6.7109375" style="2" customWidth="1"/>
    <col min="14612" max="14612" width="8.42578125" style="2" customWidth="1"/>
    <col min="14613" max="14619" width="14.42578125" style="2" customWidth="1"/>
    <col min="14620" max="14620" width="71.7109375" style="2" customWidth="1"/>
    <col min="14621" max="14850" width="9.140625" style="2"/>
    <col min="14851" max="14851" width="7.42578125" style="2" customWidth="1"/>
    <col min="14852" max="14855" width="14" style="2" customWidth="1"/>
    <col min="14856" max="14857" width="8.42578125" style="2" customWidth="1"/>
    <col min="14858" max="14863" width="9.140625" style="2"/>
    <col min="14864" max="14864" width="10.140625" style="2" bestFit="1" customWidth="1"/>
    <col min="14865" max="14866" width="9.140625" style="2"/>
    <col min="14867" max="14867" width="6.7109375" style="2" customWidth="1"/>
    <col min="14868" max="14868" width="8.42578125" style="2" customWidth="1"/>
    <col min="14869" max="14875" width="14.42578125" style="2" customWidth="1"/>
    <col min="14876" max="14876" width="71.7109375" style="2" customWidth="1"/>
    <col min="14877" max="15106" width="9.140625" style="2"/>
    <col min="15107" max="15107" width="7.42578125" style="2" customWidth="1"/>
    <col min="15108" max="15111" width="14" style="2" customWidth="1"/>
    <col min="15112" max="15113" width="8.42578125" style="2" customWidth="1"/>
    <col min="15114" max="15119" width="9.140625" style="2"/>
    <col min="15120" max="15120" width="10.140625" style="2" bestFit="1" customWidth="1"/>
    <col min="15121" max="15122" width="9.140625" style="2"/>
    <col min="15123" max="15123" width="6.7109375" style="2" customWidth="1"/>
    <col min="15124" max="15124" width="8.42578125" style="2" customWidth="1"/>
    <col min="15125" max="15131" width="14.42578125" style="2" customWidth="1"/>
    <col min="15132" max="15132" width="71.7109375" style="2" customWidth="1"/>
    <col min="15133" max="15362" width="9.140625" style="2"/>
    <col min="15363" max="15363" width="7.42578125" style="2" customWidth="1"/>
    <col min="15364" max="15367" width="14" style="2" customWidth="1"/>
    <col min="15368" max="15369" width="8.42578125" style="2" customWidth="1"/>
    <col min="15370" max="15375" width="9.140625" style="2"/>
    <col min="15376" max="15376" width="10.140625" style="2" bestFit="1" customWidth="1"/>
    <col min="15377" max="15378" width="9.140625" style="2"/>
    <col min="15379" max="15379" width="6.7109375" style="2" customWidth="1"/>
    <col min="15380" max="15380" width="8.42578125" style="2" customWidth="1"/>
    <col min="15381" max="15387" width="14.42578125" style="2" customWidth="1"/>
    <col min="15388" max="15388" width="71.7109375" style="2" customWidth="1"/>
    <col min="15389" max="15618" width="9.140625" style="2"/>
    <col min="15619" max="15619" width="7.42578125" style="2" customWidth="1"/>
    <col min="15620" max="15623" width="14" style="2" customWidth="1"/>
    <col min="15624" max="15625" width="8.42578125" style="2" customWidth="1"/>
    <col min="15626" max="15631" width="9.140625" style="2"/>
    <col min="15632" max="15632" width="10.140625" style="2" bestFit="1" customWidth="1"/>
    <col min="15633" max="15634" width="9.140625" style="2"/>
    <col min="15635" max="15635" width="6.7109375" style="2" customWidth="1"/>
    <col min="15636" max="15636" width="8.42578125" style="2" customWidth="1"/>
    <col min="15637" max="15643" width="14.42578125" style="2" customWidth="1"/>
    <col min="15644" max="15644" width="71.7109375" style="2" customWidth="1"/>
    <col min="15645" max="15874" width="9.140625" style="2"/>
    <col min="15875" max="15875" width="7.42578125" style="2" customWidth="1"/>
    <col min="15876" max="15879" width="14" style="2" customWidth="1"/>
    <col min="15880" max="15881" width="8.42578125" style="2" customWidth="1"/>
    <col min="15882" max="15887" width="9.140625" style="2"/>
    <col min="15888" max="15888" width="10.140625" style="2" bestFit="1" customWidth="1"/>
    <col min="15889" max="15890" width="9.140625" style="2"/>
    <col min="15891" max="15891" width="6.7109375" style="2" customWidth="1"/>
    <col min="15892" max="15892" width="8.42578125" style="2" customWidth="1"/>
    <col min="15893" max="15899" width="14.42578125" style="2" customWidth="1"/>
    <col min="15900" max="15900" width="71.7109375" style="2" customWidth="1"/>
    <col min="15901" max="16130" width="9.140625" style="2"/>
    <col min="16131" max="16131" width="7.42578125" style="2" customWidth="1"/>
    <col min="16132" max="16135" width="14" style="2" customWidth="1"/>
    <col min="16136" max="16137" width="8.42578125" style="2" customWidth="1"/>
    <col min="16138" max="16143" width="9.140625" style="2"/>
    <col min="16144" max="16144" width="10.140625" style="2" bestFit="1" customWidth="1"/>
    <col min="16145" max="16146" width="9.140625" style="2"/>
    <col min="16147" max="16147" width="6.7109375" style="2" customWidth="1"/>
    <col min="16148" max="16148" width="8.42578125" style="2" customWidth="1"/>
    <col min="16149" max="16155" width="14.42578125" style="2" customWidth="1"/>
    <col min="16156" max="16156" width="71.7109375" style="2" customWidth="1"/>
    <col min="16157" max="16384" width="9.140625" style="2"/>
  </cols>
  <sheetData>
    <row r="1" spans="1:28" s="12" customFormat="1" ht="15.75" x14ac:dyDescent="0.25">
      <c r="A1" s="408" t="s">
        <v>139</v>
      </c>
      <c r="B1" s="408"/>
      <c r="C1" s="408"/>
      <c r="D1" s="408"/>
      <c r="E1" s="408"/>
      <c r="F1" s="408"/>
      <c r="G1" s="408"/>
      <c r="H1" s="408"/>
      <c r="I1" s="408"/>
      <c r="J1" s="408"/>
      <c r="K1" s="408"/>
      <c r="L1" s="408"/>
      <c r="M1" s="408"/>
      <c r="N1" s="408"/>
      <c r="O1" s="408"/>
      <c r="P1" s="408"/>
      <c r="Q1" s="408"/>
      <c r="R1" s="408"/>
      <c r="S1" s="408"/>
    </row>
    <row r="2" spans="1:28" s="12" customFormat="1" ht="49.5" customHeight="1" x14ac:dyDescent="0.25">
      <c r="A2" s="409" t="s">
        <v>136</v>
      </c>
      <c r="B2" s="409"/>
      <c r="C2" s="409"/>
      <c r="D2" s="409"/>
      <c r="E2" s="409"/>
      <c r="F2" s="409"/>
      <c r="G2" s="409"/>
      <c r="H2" s="409"/>
      <c r="I2" s="409"/>
      <c r="J2" s="409"/>
      <c r="K2" s="409"/>
      <c r="L2" s="409"/>
      <c r="M2" s="409"/>
      <c r="N2" s="409"/>
      <c r="O2" s="409"/>
      <c r="P2" s="409"/>
      <c r="Q2" s="409"/>
      <c r="R2" s="409"/>
      <c r="S2" s="409"/>
      <c r="T2" s="11"/>
    </row>
    <row r="3" spans="1:28" ht="15.75" thickBot="1" x14ac:dyDescent="0.3"/>
    <row r="4" spans="1:28" s="1" customFormat="1" ht="27" customHeight="1" thickTop="1" x14ac:dyDescent="0.25">
      <c r="A4" s="399" t="s">
        <v>58</v>
      </c>
      <c r="B4" s="402" t="s">
        <v>59</v>
      </c>
      <c r="C4" s="392" t="s">
        <v>8</v>
      </c>
      <c r="D4" s="392" t="s">
        <v>60</v>
      </c>
      <c r="E4" s="392" t="s">
        <v>138</v>
      </c>
      <c r="F4" s="392" t="s">
        <v>62</v>
      </c>
      <c r="G4" s="392" t="s">
        <v>63</v>
      </c>
      <c r="H4" s="392" t="s">
        <v>64</v>
      </c>
      <c r="I4" s="392"/>
      <c r="J4" s="392"/>
      <c r="K4" s="392"/>
      <c r="L4" s="392"/>
      <c r="M4" s="392"/>
      <c r="N4" s="392" t="s">
        <v>122</v>
      </c>
      <c r="O4" s="392" t="s">
        <v>65</v>
      </c>
      <c r="P4" s="392" t="s">
        <v>66</v>
      </c>
      <c r="Q4" s="392" t="s">
        <v>67</v>
      </c>
      <c r="R4" s="392" t="s">
        <v>68</v>
      </c>
      <c r="S4" s="393" t="s">
        <v>126</v>
      </c>
      <c r="T4" s="407"/>
      <c r="U4" s="407"/>
      <c r="V4" s="406"/>
    </row>
    <row r="5" spans="1:28" s="1" customFormat="1" ht="18" customHeight="1" x14ac:dyDescent="0.25">
      <c r="A5" s="400"/>
      <c r="B5" s="403"/>
      <c r="C5" s="393"/>
      <c r="D5" s="393"/>
      <c r="E5" s="393"/>
      <c r="F5" s="393"/>
      <c r="G5" s="393"/>
      <c r="H5" s="393" t="s">
        <v>69</v>
      </c>
      <c r="I5" s="393" t="s">
        <v>70</v>
      </c>
      <c r="J5" s="393"/>
      <c r="K5" s="393" t="s">
        <v>71</v>
      </c>
      <c r="L5" s="396" t="s">
        <v>70</v>
      </c>
      <c r="M5" s="396"/>
      <c r="N5" s="393"/>
      <c r="O5" s="393"/>
      <c r="P5" s="393"/>
      <c r="Q5" s="393"/>
      <c r="R5" s="393"/>
      <c r="S5" s="393"/>
      <c r="T5" s="407"/>
      <c r="U5" s="407"/>
      <c r="V5" s="406"/>
    </row>
    <row r="6" spans="1:28" s="1" customFormat="1" ht="105.75" customHeight="1" x14ac:dyDescent="0.25">
      <c r="A6" s="401"/>
      <c r="B6" s="404"/>
      <c r="C6" s="393"/>
      <c r="D6" s="393"/>
      <c r="E6" s="393"/>
      <c r="F6" s="393"/>
      <c r="G6" s="393"/>
      <c r="H6" s="393"/>
      <c r="I6" s="191" t="s">
        <v>71</v>
      </c>
      <c r="J6" s="191" t="s">
        <v>72</v>
      </c>
      <c r="K6" s="393"/>
      <c r="L6" s="192" t="s">
        <v>123</v>
      </c>
      <c r="M6" s="192" t="s">
        <v>124</v>
      </c>
      <c r="N6" s="393"/>
      <c r="O6" s="393"/>
      <c r="P6" s="393"/>
      <c r="Q6" s="393"/>
      <c r="R6" s="393"/>
      <c r="S6" s="393"/>
      <c r="T6" s="407"/>
      <c r="U6" s="407"/>
      <c r="V6" s="406"/>
    </row>
    <row r="7" spans="1:28" ht="15" customHeight="1" x14ac:dyDescent="0.25">
      <c r="A7" s="206">
        <v>1</v>
      </c>
      <c r="B7" s="193">
        <f>+A7+1</f>
        <v>2</v>
      </c>
      <c r="C7" s="193">
        <f t="shared" ref="C7:S7" si="0">+B7+1</f>
        <v>3</v>
      </c>
      <c r="D7" s="193">
        <f t="shared" si="0"/>
        <v>4</v>
      </c>
      <c r="E7" s="193">
        <f>+D7+1</f>
        <v>5</v>
      </c>
      <c r="F7" s="193">
        <f t="shared" si="0"/>
        <v>6</v>
      </c>
      <c r="G7" s="193">
        <f t="shared" si="0"/>
        <v>7</v>
      </c>
      <c r="H7" s="193">
        <f t="shared" si="0"/>
        <v>8</v>
      </c>
      <c r="I7" s="193">
        <f t="shared" si="0"/>
        <v>9</v>
      </c>
      <c r="J7" s="193">
        <f t="shared" si="0"/>
        <v>10</v>
      </c>
      <c r="K7" s="193">
        <f t="shared" si="0"/>
        <v>11</v>
      </c>
      <c r="L7" s="193">
        <f t="shared" si="0"/>
        <v>12</v>
      </c>
      <c r="M7" s="193">
        <f t="shared" si="0"/>
        <v>13</v>
      </c>
      <c r="N7" s="193">
        <f t="shared" si="0"/>
        <v>14</v>
      </c>
      <c r="O7" s="193">
        <f t="shared" si="0"/>
        <v>15</v>
      </c>
      <c r="P7" s="193">
        <f t="shared" si="0"/>
        <v>16</v>
      </c>
      <c r="Q7" s="193">
        <f t="shared" si="0"/>
        <v>17</v>
      </c>
      <c r="R7" s="193">
        <f t="shared" si="0"/>
        <v>18</v>
      </c>
      <c r="S7" s="193">
        <f t="shared" si="0"/>
        <v>19</v>
      </c>
      <c r="T7" s="207"/>
      <c r="U7" s="193"/>
      <c r="V7" s="193"/>
    </row>
    <row r="8" spans="1:28" s="211" customFormat="1" ht="45" customHeight="1" x14ac:dyDescent="0.25">
      <c r="A8" s="194">
        <v>1</v>
      </c>
      <c r="B8" s="8" t="str">
        <f>+'Ng Vũ Mạnh(5-23+86)'!F9</f>
        <v>Nguyễn Vũ Mạnh - Nguyễn Thị Luân</v>
      </c>
      <c r="C8" s="34" t="str">
        <f>+'Ng Vũ Mạnh(5-23+86)'!C12</f>
        <v>001090006511</v>
      </c>
      <c r="D8" s="205" t="str">
        <f>+'Ng Vũ Mạnh(5-23+86)'!C10</f>
        <v>Thôn Thanh Trì - Xã Phú Nghĩa - TP Hà Nội</v>
      </c>
      <c r="E8" s="34"/>
      <c r="F8" s="188" t="str">
        <f>+'Ng Vũ Mạnh(5-23+86)'!F19</f>
        <v>05</v>
      </c>
      <c r="G8" s="188" t="str">
        <f>+'Ng Vũ Mạnh(5-23+86)'!C19</f>
        <v>23+86</v>
      </c>
      <c r="H8" s="190">
        <f>+'Ng Vũ Mạnh(5-23+86)'!C20</f>
        <v>491.8</v>
      </c>
      <c r="I8" s="190">
        <f>+'Ng Vũ Mạnh(5-23+86)'!C22</f>
        <v>70.5</v>
      </c>
      <c r="J8" s="190">
        <f>+H8-I8</f>
        <v>421.3</v>
      </c>
      <c r="K8" s="190">
        <f>I8</f>
        <v>70.5</v>
      </c>
      <c r="L8" s="190"/>
      <c r="M8" s="190">
        <f t="shared" ref="M8:M27" si="1">I8</f>
        <v>70.5</v>
      </c>
      <c r="N8" s="190" t="str">
        <f>+'Ng Vũ Mạnh(5-23+86)'!H26</f>
        <v>01</v>
      </c>
      <c r="O8" s="188" t="str">
        <f>+'Ng Vũ Mạnh(5-23+86)'!H27</f>
        <v>06</v>
      </c>
      <c r="P8" s="189">
        <f>+'Ng Vũ Mạnh(5-23+86)'!H34</f>
        <v>0</v>
      </c>
      <c r="Q8" s="189">
        <f>+'Ng Vũ Mạnh(5-23+86)'!H49</f>
        <v>0</v>
      </c>
      <c r="R8" s="189">
        <f>+'Ng Vũ Mạnh(5-23+86)'!H61</f>
        <v>0</v>
      </c>
      <c r="S8" s="189">
        <f>+SUM(P8:R8)</f>
        <v>0</v>
      </c>
      <c r="T8" s="208"/>
      <c r="U8" s="208"/>
      <c r="V8" s="209"/>
      <c r="W8" s="195"/>
      <c r="X8" s="9"/>
      <c r="Y8" s="16"/>
      <c r="Z8" s="210" t="e">
        <f>#REF!</f>
        <v>#REF!</v>
      </c>
      <c r="AA8" s="209" t="s">
        <v>79</v>
      </c>
      <c r="AB8" s="211" t="e">
        <f>#REF!</f>
        <v>#REF!</v>
      </c>
    </row>
    <row r="9" spans="1:28" s="211" customFormat="1" ht="45" customHeight="1" x14ac:dyDescent="0.25">
      <c r="A9" s="194">
        <f>+A8+1</f>
        <v>2</v>
      </c>
      <c r="B9" s="8" t="str">
        <f>+'Trần Cao Giới(5-43)'!F9</f>
        <v>Trần Cao Giới</v>
      </c>
      <c r="C9" s="34" t="str">
        <f>+'Trần Cao Giới(5-43)'!C12</f>
        <v>001062025102</v>
      </c>
      <c r="D9" s="205" t="str">
        <f>+'Trần Cao Giới(5-43)'!C10</f>
        <v>Thôn Phố Gốt- Xã Phú Nghĩa - TP Hà Nội</v>
      </c>
      <c r="E9" s="34"/>
      <c r="F9" s="188" t="str">
        <f>+'Trần Cao Giới(5-43)'!F19</f>
        <v>05</v>
      </c>
      <c r="G9" s="188">
        <f>+'Trần Cao Giới(5-43)'!C19</f>
        <v>43</v>
      </c>
      <c r="H9" s="190">
        <f>+'Trần Cao Giới(5-43)'!C20</f>
        <v>55.5</v>
      </c>
      <c r="I9" s="190">
        <f>+'Trần Cao Giới(5-43)'!C22</f>
        <v>46.1</v>
      </c>
      <c r="J9" s="190">
        <f>+H9-I9</f>
        <v>9.3999999999999986</v>
      </c>
      <c r="K9" s="190">
        <f t="shared" ref="K9:K27" si="2">I9</f>
        <v>46.1</v>
      </c>
      <c r="L9" s="190"/>
      <c r="M9" s="190">
        <f t="shared" si="1"/>
        <v>46.1</v>
      </c>
      <c r="N9" s="190" t="str">
        <f>+'Trần Cao Giới(5-43)'!H26</f>
        <v>01</v>
      </c>
      <c r="O9" s="188" t="str">
        <f>+'Trần Cao Giới(5-43)'!H27</f>
        <v>04</v>
      </c>
      <c r="P9" s="189">
        <f>+'Trần Cao Giới(5-43)'!H34</f>
        <v>0</v>
      </c>
      <c r="Q9" s="188">
        <f>+'Trần Cao Giới(5-43)'!H49</f>
        <v>0</v>
      </c>
      <c r="R9" s="188">
        <f>+'Trần Cao Giới(5-43)'!H66</f>
        <v>0</v>
      </c>
      <c r="S9" s="189">
        <f t="shared" ref="S9:S28" si="3">+SUM(P9:R9)</f>
        <v>0</v>
      </c>
      <c r="T9" s="212"/>
      <c r="U9" s="212"/>
      <c r="W9" s="196"/>
      <c r="X9" s="9"/>
      <c r="Y9" s="16">
        <f>SUM(R9:X9)</f>
        <v>0</v>
      </c>
      <c r="Z9" s="213" t="e">
        <f>#REF!</f>
        <v>#REF!</v>
      </c>
      <c r="AA9" s="209" t="s">
        <v>79</v>
      </c>
      <c r="AB9" s="211" t="e">
        <f>#REF!</f>
        <v>#REF!</v>
      </c>
    </row>
    <row r="10" spans="1:28" s="211" customFormat="1" ht="45" customHeight="1" x14ac:dyDescent="0.25">
      <c r="A10" s="194">
        <f t="shared" ref="A10:A27" si="4">+A9+1</f>
        <v>3</v>
      </c>
      <c r="B10" s="8" t="str">
        <f>+'Ng Thị Hòa(5-14)'!F9</f>
        <v xml:space="preserve">Đại diện hộ bà Nguyễn Thị Hòa </v>
      </c>
      <c r="C10" s="34" t="str">
        <f>+'Ng Thị Hòa(5-14)'!C12</f>
        <v>001166020878</v>
      </c>
      <c r="D10" s="205" t="str">
        <f>+'Ng Thị Hòa(5-14)'!C10</f>
        <v>Thôn Phố Gốt- xã Phú Nghĩa - TP Hà Nội</v>
      </c>
      <c r="E10" s="34"/>
      <c r="F10" s="188" t="str">
        <f>+'Ng Thị Hòa(5-14)'!F19</f>
        <v>05</v>
      </c>
      <c r="G10" s="188">
        <f>+'Ng Thị Hòa(5-14)'!C19</f>
        <v>14</v>
      </c>
      <c r="H10" s="190">
        <f>+'Ng Thị Hòa(5-14)'!C20</f>
        <v>265.7</v>
      </c>
      <c r="I10" s="190">
        <f>+'Ng Thị Hòa(5-14)'!C22</f>
        <v>37.299999999999997</v>
      </c>
      <c r="J10" s="190">
        <f t="shared" ref="J10:J28" si="5">+H10-I10</f>
        <v>228.39999999999998</v>
      </c>
      <c r="K10" s="190">
        <f t="shared" si="2"/>
        <v>37.299999999999997</v>
      </c>
      <c r="L10" s="190"/>
      <c r="M10" s="190">
        <f t="shared" si="1"/>
        <v>37.299999999999997</v>
      </c>
      <c r="N10" s="190" t="str">
        <f>+'Ng Thị Hòa(5-14)'!H26</f>
        <v>01</v>
      </c>
      <c r="O10" s="188" t="str">
        <f>+'Ng Thị Hòa(5-14)'!H27</f>
        <v>02</v>
      </c>
      <c r="P10" s="189">
        <f>+'Ng Thị Hòa(5-14)'!H34</f>
        <v>0</v>
      </c>
      <c r="Q10" s="189">
        <f>+'Ng Thị Hòa(5-14)'!H49</f>
        <v>0</v>
      </c>
      <c r="R10" s="189">
        <f>+'Ng Thị Hòa(5-14)'!H59</f>
        <v>0</v>
      </c>
      <c r="S10" s="189">
        <f t="shared" si="3"/>
        <v>0</v>
      </c>
      <c r="T10" s="208"/>
      <c r="U10" s="208"/>
      <c r="V10" s="209"/>
      <c r="W10" s="195"/>
      <c r="X10" s="9"/>
      <c r="Y10" s="16"/>
      <c r="Z10" s="213" t="e">
        <f>#REF!</f>
        <v>#REF!</v>
      </c>
      <c r="AA10" s="209" t="s">
        <v>79</v>
      </c>
      <c r="AB10" s="211" t="e">
        <f>#REF!</f>
        <v>#REF!</v>
      </c>
    </row>
    <row r="11" spans="1:28" s="211" customFormat="1" ht="45" customHeight="1" x14ac:dyDescent="0.25">
      <c r="A11" s="194">
        <f t="shared" si="4"/>
        <v>4</v>
      </c>
      <c r="B11" s="8" t="str">
        <f>+'Ng Thị Hòa(5-68)'!F9</f>
        <v>Đại diện hộ bà Nguyễn Thị Hòa</v>
      </c>
      <c r="C11" s="34" t="str">
        <f>+'Ng Thị Hòa(5-68)'!C12</f>
        <v>001166020878</v>
      </c>
      <c r="D11" s="205" t="str">
        <f>+'Ng Thị Hòa(5-68)'!C10</f>
        <v>Thôn Phố Gốt- xã Phú Nghĩa - TP Hà Nội</v>
      </c>
      <c r="E11" s="34"/>
      <c r="F11" s="188" t="str">
        <f>+'Ng Thị Hòa(5-68)'!F19</f>
        <v>05</v>
      </c>
      <c r="G11" s="188">
        <f>+'Ng Thị Hòa(5-68)'!C19</f>
        <v>68</v>
      </c>
      <c r="H11" s="190">
        <f>+'Ng Thị Hòa(5-68)'!C20</f>
        <v>33.5</v>
      </c>
      <c r="I11" s="190">
        <f>+'Ng Thị Hòa(5-68)'!C22</f>
        <v>33.5</v>
      </c>
      <c r="J11" s="190">
        <f t="shared" si="5"/>
        <v>0</v>
      </c>
      <c r="K11" s="190">
        <f t="shared" si="2"/>
        <v>33.5</v>
      </c>
      <c r="L11" s="190"/>
      <c r="M11" s="190">
        <f t="shared" si="1"/>
        <v>33.5</v>
      </c>
      <c r="N11" s="190" t="str">
        <f>+'Ng Thị Hòa(5-68)'!H26</f>
        <v>01</v>
      </c>
      <c r="O11" s="188" t="str">
        <f>+'Ng Thị Hòa(5-68)'!H27</f>
        <v>02</v>
      </c>
      <c r="P11" s="189">
        <f>+'Ng Thị Hòa(5-68)'!H34</f>
        <v>0</v>
      </c>
      <c r="Q11" s="189">
        <f>+'Ng Thị Hòa(5-68)'!H49</f>
        <v>0</v>
      </c>
      <c r="R11" s="189">
        <f>+'Ng Thị Hòa(5-68)'!H55</f>
        <v>0</v>
      </c>
      <c r="S11" s="189">
        <f t="shared" si="3"/>
        <v>0</v>
      </c>
      <c r="T11" s="208"/>
      <c r="U11" s="208"/>
      <c r="W11" s="196"/>
      <c r="X11" s="9"/>
      <c r="Y11" s="16"/>
      <c r="Z11" s="213" t="e">
        <f>#REF!</f>
        <v>#REF!</v>
      </c>
      <c r="AA11" s="209" t="s">
        <v>79</v>
      </c>
      <c r="AB11" s="211" t="e">
        <f>#REF!</f>
        <v>#REF!</v>
      </c>
    </row>
    <row r="12" spans="1:28" s="211" customFormat="1" ht="45" customHeight="1" x14ac:dyDescent="0.25">
      <c r="A12" s="194">
        <f t="shared" si="4"/>
        <v>5</v>
      </c>
      <c r="B12" s="8" t="str">
        <f>+'Trần Đăng Định (4-53)'!F9</f>
        <v>Trần Đăng Định - Đỗ Thị Hạnh</v>
      </c>
      <c r="C12" s="34" t="str">
        <f>+'Trần Đăng Định (4-53)'!C12</f>
        <v>001081009370</v>
      </c>
      <c r="D12" s="205" t="str">
        <f>+'Trần Đăng Định (4-53)'!C10</f>
        <v>Thôn Thanh Trì - xã Phú Nghĩa - TP Hà Nội</v>
      </c>
      <c r="E12" s="34"/>
      <c r="F12" s="188" t="str">
        <f>+'Trần Đăng Định (4-53)'!F19</f>
        <v>04</v>
      </c>
      <c r="G12" s="188">
        <f>+'Trần Đăng Định (4-53)'!C19</f>
        <v>53</v>
      </c>
      <c r="H12" s="190">
        <f>+'Trần Đăng Định (4-53)'!C20</f>
        <v>92.6</v>
      </c>
      <c r="I12" s="190">
        <f>+'Trần Đăng Định (4-53)'!C22</f>
        <v>92.6</v>
      </c>
      <c r="J12" s="190">
        <f t="shared" si="5"/>
        <v>0</v>
      </c>
      <c r="K12" s="190">
        <f t="shared" si="2"/>
        <v>92.6</v>
      </c>
      <c r="L12" s="190"/>
      <c r="M12" s="190">
        <f t="shared" si="1"/>
        <v>92.6</v>
      </c>
      <c r="N12" s="190" t="str">
        <f>+'Trần Đăng Định (4-53)'!H26</f>
        <v>01</v>
      </c>
      <c r="O12" s="188" t="str">
        <f>+'Trần Đăng Định (4-53)'!H27</f>
        <v>04</v>
      </c>
      <c r="P12" s="189">
        <f>+'Trần Đăng Định (4-53)'!H34</f>
        <v>0</v>
      </c>
      <c r="Q12" s="188">
        <f>+'Trần Đăng Định (4-53)'!H49</f>
        <v>0</v>
      </c>
      <c r="R12" s="188">
        <f>+'Trần Đăng Định (4-53)'!H57</f>
        <v>0</v>
      </c>
      <c r="S12" s="189">
        <f t="shared" si="3"/>
        <v>0</v>
      </c>
      <c r="T12" s="212"/>
      <c r="U12" s="212"/>
      <c r="W12" s="196"/>
      <c r="X12" s="9"/>
      <c r="Y12" s="16"/>
      <c r="Z12" s="213" t="e">
        <f>#REF!</f>
        <v>#REF!</v>
      </c>
      <c r="AA12" s="209" t="s">
        <v>79</v>
      </c>
      <c r="AB12" s="211" t="e">
        <f>#REF!</f>
        <v>#REF!</v>
      </c>
    </row>
    <row r="13" spans="1:28" s="211" customFormat="1" ht="45" customHeight="1" x14ac:dyDescent="0.25">
      <c r="A13" s="194">
        <f t="shared" si="4"/>
        <v>6</v>
      </c>
      <c r="B13" s="8" t="str">
        <f>+'Đỗ Thị Ngọc (5-7)'!F9</f>
        <v>Đỗ Thị Ngọc</v>
      </c>
      <c r="C13" s="34" t="str">
        <f>+'Đỗ Thị Ngọc (5-7)'!C12</f>
        <v>001166010279</v>
      </c>
      <c r="D13" s="205" t="str">
        <f>+'Đỗ Thị Ngọc (5-7)'!C10</f>
        <v>TDP Xuân Hà - xã Xuân Mai - TP Hà Nội</v>
      </c>
      <c r="E13" s="34"/>
      <c r="F13" s="188" t="str">
        <f>+'Đỗ Thị Ngọc (5-7)'!F19</f>
        <v>05</v>
      </c>
      <c r="G13" s="188" t="str">
        <f>+'Đỗ Thị Ngọc (5-7)'!C19</f>
        <v>07</v>
      </c>
      <c r="H13" s="190">
        <f>+'Đỗ Thị Ngọc (5-7)'!C20</f>
        <v>161.19999999999999</v>
      </c>
      <c r="I13" s="190">
        <f>+'Đỗ Thị Ngọc (5-7)'!C22</f>
        <v>110.8</v>
      </c>
      <c r="J13" s="190">
        <f t="shared" si="5"/>
        <v>50.399999999999991</v>
      </c>
      <c r="K13" s="190">
        <f t="shared" si="2"/>
        <v>110.8</v>
      </c>
      <c r="L13" s="190"/>
      <c r="M13" s="190">
        <f t="shared" si="1"/>
        <v>110.8</v>
      </c>
      <c r="N13" s="190">
        <f>+'Đỗ Thị Ngọc (5-7)'!H26</f>
        <v>0</v>
      </c>
      <c r="O13" s="188">
        <f>+'Đỗ Thị Ngọc (5-7)'!H27</f>
        <v>0</v>
      </c>
      <c r="P13" s="189">
        <f>+'Đỗ Thị Ngọc (5-7)'!H34</f>
        <v>0</v>
      </c>
      <c r="Q13" s="189">
        <f>+'Đỗ Thị Ngọc (5-7)'!H49</f>
        <v>0</v>
      </c>
      <c r="R13" s="189">
        <f>+'Đỗ Thị Ngọc (5-7)'!H61</f>
        <v>0</v>
      </c>
      <c r="S13" s="189">
        <f t="shared" si="3"/>
        <v>0</v>
      </c>
      <c r="T13" s="208"/>
      <c r="U13" s="208"/>
      <c r="W13" s="196"/>
      <c r="X13" s="9"/>
      <c r="Y13" s="16"/>
      <c r="Z13" s="213" t="e">
        <f>#REF!</f>
        <v>#REF!</v>
      </c>
      <c r="AA13" s="209" t="s">
        <v>79</v>
      </c>
      <c r="AB13" s="211" t="e">
        <f>#REF!</f>
        <v>#REF!</v>
      </c>
    </row>
    <row r="14" spans="1:28" s="211" customFormat="1" ht="45" customHeight="1" x14ac:dyDescent="0.25">
      <c r="A14" s="194">
        <f t="shared" si="4"/>
        <v>7</v>
      </c>
      <c r="B14" s="8" t="str">
        <f>+'Nguyễn Văn Chiến (5-9)'!F9</f>
        <v>Nguyễn Văn Chiến</v>
      </c>
      <c r="C14" s="34" t="str">
        <f>+'Nguyễn Văn Chiến (5-9)'!C12</f>
        <v>001050018475</v>
      </c>
      <c r="D14" s="205" t="str">
        <f>+'Nguyễn Văn Chiến (5-9)'!C10</f>
        <v>Thôn Phố Gốt- xã Phú Nghĩa - TP Hà Nội</v>
      </c>
      <c r="E14" s="34"/>
      <c r="F14" s="188" t="str">
        <f>+'Nguyễn Văn Chiến (5-9)'!F19</f>
        <v>05</v>
      </c>
      <c r="G14" s="34" t="str">
        <f>+'Nguyễn Văn Chiến (5-9)'!C19</f>
        <v>09</v>
      </c>
      <c r="H14" s="190">
        <f>+'Nguyễn Văn Chiến (5-9)'!C20</f>
        <v>26.6</v>
      </c>
      <c r="I14" s="190">
        <f>+'Nguyễn Văn Chiến (5-9)'!C22</f>
        <v>26.6</v>
      </c>
      <c r="J14" s="190">
        <f t="shared" si="5"/>
        <v>0</v>
      </c>
      <c r="K14" s="190">
        <f t="shared" si="2"/>
        <v>26.6</v>
      </c>
      <c r="L14" s="190"/>
      <c r="M14" s="190">
        <f t="shared" si="1"/>
        <v>26.6</v>
      </c>
      <c r="N14" s="190" t="str">
        <f>+'Nguyễn Văn Chiến (5-9)'!H26</f>
        <v>01</v>
      </c>
      <c r="O14" s="188" t="str">
        <f>+'Nguyễn Văn Chiến (5-9)'!H27</f>
        <v>05</v>
      </c>
      <c r="P14" s="189">
        <f>+'Nguyễn Văn Chiến (5-9)'!H34</f>
        <v>0</v>
      </c>
      <c r="Q14" s="189">
        <f>+'Nguyễn Văn Chiến (5-9)'!H49</f>
        <v>0</v>
      </c>
      <c r="R14" s="188">
        <f>+'Nguyễn Văn Chiến (5-9)'!H56</f>
        <v>0</v>
      </c>
      <c r="S14" s="189">
        <f t="shared" si="3"/>
        <v>0</v>
      </c>
      <c r="T14" s="208"/>
      <c r="U14" s="212"/>
      <c r="W14" s="196"/>
      <c r="X14" s="9"/>
      <c r="Y14" s="16"/>
      <c r="Z14" s="213" t="e">
        <f>#REF!</f>
        <v>#REF!</v>
      </c>
      <c r="AA14" s="209" t="s">
        <v>79</v>
      </c>
      <c r="AB14" s="211" t="e">
        <f>#REF!</f>
        <v>#REF!</v>
      </c>
    </row>
    <row r="15" spans="1:28" s="211" customFormat="1" ht="45" customHeight="1" x14ac:dyDescent="0.25">
      <c r="A15" s="194">
        <f t="shared" si="4"/>
        <v>8</v>
      </c>
      <c r="B15" s="8" t="str">
        <f>'Nguyễn Thị Vân (5-8)'!F9</f>
        <v>Nguyễn Thị Vân</v>
      </c>
      <c r="C15" s="34" t="str">
        <f>'Nguyễn Thị Vân (5-8)'!C12:E12</f>
        <v>001152014624</v>
      </c>
      <c r="D15" s="205" t="str">
        <f>'Nguyễn Thị Vân (5-8)'!C10</f>
        <v>Thôn Phố Gốt - xã Phú Nghĩa - TP Hà Nội</v>
      </c>
      <c r="E15" s="34"/>
      <c r="F15" s="188" t="str">
        <f>'Nguyễn Thị Vân (5-8)'!F19</f>
        <v>04</v>
      </c>
      <c r="G15" s="188" t="str">
        <f>'Nguyễn Thị Vân (5-8)'!C19</f>
        <v>05</v>
      </c>
      <c r="H15" s="190">
        <f>'Nguyễn Thị Vân (5-8)'!C20</f>
        <v>25.2</v>
      </c>
      <c r="I15" s="190">
        <f>'Nguyễn Thị Vân (5-8)'!C22</f>
        <v>25.2</v>
      </c>
      <c r="J15" s="190">
        <f>'Nguyễn Thị Vân (5-8)'!C23</f>
        <v>0</v>
      </c>
      <c r="K15" s="190">
        <f t="shared" si="2"/>
        <v>25.2</v>
      </c>
      <c r="L15" s="190"/>
      <c r="M15" s="190">
        <f t="shared" si="1"/>
        <v>25.2</v>
      </c>
      <c r="N15" s="190">
        <f>'Nguyễn Thị Vân (5-8)'!H26</f>
        <v>0</v>
      </c>
      <c r="O15" s="188" t="str">
        <f>'Nguyễn Thị Vân (5-8)'!H27</f>
        <v>06</v>
      </c>
      <c r="P15" s="189">
        <f>+'[1]Bùi Văn Đồng(8-23)'!H34</f>
        <v>0</v>
      </c>
      <c r="Q15" s="189">
        <f>+'[1]Bùi Văn Đồng(8-23)'!H49</f>
        <v>0</v>
      </c>
      <c r="R15" s="188">
        <f>+'[1]Bùi Văn Đồng(8-23)'!H55</f>
        <v>0</v>
      </c>
      <c r="S15" s="189">
        <f t="shared" si="3"/>
        <v>0</v>
      </c>
      <c r="T15" s="208"/>
      <c r="U15" s="212"/>
      <c r="W15" s="196"/>
      <c r="X15" s="9"/>
      <c r="Y15" s="16"/>
      <c r="Z15" s="213" t="e">
        <f>#REF!</f>
        <v>#REF!</v>
      </c>
      <c r="AA15" s="209" t="s">
        <v>79</v>
      </c>
      <c r="AB15" s="211" t="e">
        <f>#REF!</f>
        <v>#REF!</v>
      </c>
    </row>
    <row r="16" spans="1:28" s="211" customFormat="1" ht="45" customHeight="1" x14ac:dyDescent="0.25">
      <c r="A16" s="194">
        <f t="shared" si="4"/>
        <v>9</v>
      </c>
      <c r="B16" s="8" t="str">
        <f>+'Vũ Viết Chinh (5-79)'!F9</f>
        <v>Vũ Viết Chinh - Nguyễn Thị Phương</v>
      </c>
      <c r="C16" s="34" t="str">
        <f>+'Vũ Viết Chinh (5-79)'!C12</f>
        <v>001067020168</v>
      </c>
      <c r="D16" s="205" t="str">
        <f>+'Vũ Viết Chinh (5-79)'!C10</f>
        <v>Thôn Phố Gốt - Xã Phú Nghĩa - TP Hà Nội</v>
      </c>
      <c r="E16" s="34"/>
      <c r="F16" s="188" t="str">
        <f>+'Vũ Viết Chinh (5-79)'!F19</f>
        <v>05</v>
      </c>
      <c r="G16" s="188">
        <f>+'Vũ Viết Chinh (5-79)'!C19</f>
        <v>79</v>
      </c>
      <c r="H16" s="190">
        <f>+'Vũ Viết Chinh (5-79)'!C20</f>
        <v>97.3</v>
      </c>
      <c r="I16" s="190">
        <f>+'Vũ Viết Chinh (5-79)'!C22</f>
        <v>59.1</v>
      </c>
      <c r="J16" s="190">
        <f t="shared" si="5"/>
        <v>38.199999999999996</v>
      </c>
      <c r="K16" s="190">
        <f t="shared" si="2"/>
        <v>59.1</v>
      </c>
      <c r="L16" s="190"/>
      <c r="M16" s="190">
        <f t="shared" si="1"/>
        <v>59.1</v>
      </c>
      <c r="N16" s="190" t="str">
        <f>+'Vũ Viết Chinh (5-79)'!H26</f>
        <v>01</v>
      </c>
      <c r="O16" s="188" t="str">
        <f>+'Vũ Viết Chinh (5-79)'!H27</f>
        <v>09</v>
      </c>
      <c r="P16" s="189">
        <f>+'Vũ Viết Chinh (5-79)'!H34</f>
        <v>0</v>
      </c>
      <c r="Q16" s="189">
        <f>+'Vũ Viết Chinh (5-79)'!H49</f>
        <v>0</v>
      </c>
      <c r="R16" s="189">
        <f>+'Vũ Viết Chinh (5-79)'!H57</f>
        <v>0</v>
      </c>
      <c r="S16" s="189">
        <f t="shared" si="3"/>
        <v>0</v>
      </c>
      <c r="T16" s="208"/>
      <c r="U16" s="212"/>
      <c r="W16" s="196"/>
      <c r="X16" s="9"/>
      <c r="Y16" s="16"/>
      <c r="Z16" s="213"/>
      <c r="AA16" s="209"/>
    </row>
    <row r="17" spans="1:28" s="211" customFormat="1" ht="45" customHeight="1" x14ac:dyDescent="0.25">
      <c r="A17" s="194">
        <f t="shared" si="4"/>
        <v>10</v>
      </c>
      <c r="B17" s="8" t="str">
        <f>+'Bùi Văn Hồng'!F9</f>
        <v>Bùi Văn Hồng</v>
      </c>
      <c r="C17" s="34" t="str">
        <f>+'Bùi Văn Hồng'!C12</f>
        <v>001060010502</v>
      </c>
      <c r="D17" s="205" t="str">
        <f>+'Bùi Văn Hồng'!C10</f>
        <v>Tổ dân phố Đình Tổ - xã Quốc Oai - TP Hà Nội</v>
      </c>
      <c r="E17" s="34"/>
      <c r="F17" s="188" t="str">
        <f>+'Bùi Văn Hồng'!F19</f>
        <v>05</v>
      </c>
      <c r="G17" s="188">
        <f>+'Bùi Văn Hồng'!C19</f>
        <v>76</v>
      </c>
      <c r="H17" s="190">
        <f>+'Bùi Văn Hồng'!C20</f>
        <v>82.4</v>
      </c>
      <c r="I17" s="190">
        <f>+'Bùi Văn Hồng'!C22</f>
        <v>53.1</v>
      </c>
      <c r="J17" s="190">
        <f t="shared" si="5"/>
        <v>29.300000000000004</v>
      </c>
      <c r="K17" s="190">
        <f t="shared" si="2"/>
        <v>53.1</v>
      </c>
      <c r="L17" s="190"/>
      <c r="M17" s="190">
        <f t="shared" si="1"/>
        <v>53.1</v>
      </c>
      <c r="N17" s="190">
        <f>+'Bùi Văn Hồng'!H26</f>
        <v>0</v>
      </c>
      <c r="O17" s="188">
        <f>+'Bùi Văn Hồng'!H27</f>
        <v>0</v>
      </c>
      <c r="P17" s="189">
        <f>+'Bùi Văn Hồng'!H34</f>
        <v>0</v>
      </c>
      <c r="Q17" s="189">
        <f>+'Bùi Văn Hồng'!H49</f>
        <v>0</v>
      </c>
      <c r="R17" s="189">
        <f>+'Bùi Văn Hồng'!H56</f>
        <v>0</v>
      </c>
      <c r="S17" s="189">
        <f t="shared" si="3"/>
        <v>0</v>
      </c>
      <c r="T17" s="208"/>
      <c r="U17" s="208"/>
      <c r="W17" s="196"/>
      <c r="X17" s="9"/>
      <c r="Y17" s="16"/>
      <c r="Z17" s="213"/>
      <c r="AA17" s="209"/>
    </row>
    <row r="18" spans="1:28" s="211" customFormat="1" ht="45" customHeight="1" x14ac:dyDescent="0.25">
      <c r="A18" s="194">
        <f t="shared" si="4"/>
        <v>11</v>
      </c>
      <c r="B18" s="8" t="str">
        <f>+'Nguyễn Thị Nguyên (5-45)'!F9</f>
        <v>Nguyễn Thị Nguyên</v>
      </c>
      <c r="C18" s="34" t="str">
        <f>+'Nguyễn Thị Nguyên (5-45)'!C12</f>
        <v>001165004448</v>
      </c>
      <c r="D18" s="205" t="str">
        <f>+'Nguyễn Thị Nguyên (5-45)'!C10</f>
        <v>Thôn Đông Cựu Đồi - xã Phú Nghĩa - TP Hà Nội</v>
      </c>
      <c r="E18" s="34"/>
      <c r="F18" s="188" t="str">
        <f>+'Nguyễn Thị Nguyên (5-45)'!F19</f>
        <v>05</v>
      </c>
      <c r="G18" s="188">
        <f>+'Nguyễn Thị Nguyên (5-45)'!C19</f>
        <v>45</v>
      </c>
      <c r="H18" s="190">
        <f>+'Nguyễn Thị Nguyên (5-45)'!C20</f>
        <v>60.5</v>
      </c>
      <c r="I18" s="190">
        <f>+'Nguyễn Thị Nguyên (5-45)'!C22</f>
        <v>43</v>
      </c>
      <c r="J18" s="190">
        <f t="shared" si="5"/>
        <v>17.5</v>
      </c>
      <c r="K18" s="190">
        <f t="shared" si="2"/>
        <v>43</v>
      </c>
      <c r="L18" s="190"/>
      <c r="M18" s="190">
        <f t="shared" si="1"/>
        <v>43</v>
      </c>
      <c r="N18" s="190" t="str">
        <f>+'Nguyễn Thị Nguyên (5-45)'!H26</f>
        <v>01</v>
      </c>
      <c r="O18" s="189" t="str">
        <f>+'Nguyễn Thị Nguyên (5-45)'!H27</f>
        <v>07</v>
      </c>
      <c r="P18" s="189">
        <f>+'Nguyễn Thị Nguyên (5-45)'!H34</f>
        <v>0</v>
      </c>
      <c r="Q18" s="189">
        <f>+'Nguyễn Thị Nguyên (5-45)'!H49</f>
        <v>0</v>
      </c>
      <c r="R18" s="189">
        <f>+'Nguyễn Thị Nguyên (5-45)'!H56</f>
        <v>0</v>
      </c>
      <c r="S18" s="189">
        <f t="shared" si="3"/>
        <v>0</v>
      </c>
      <c r="T18" s="208"/>
      <c r="U18" s="208"/>
      <c r="W18" s="196"/>
      <c r="X18" s="9"/>
      <c r="Y18" s="16"/>
      <c r="Z18" s="213"/>
      <c r="AA18" s="209"/>
    </row>
    <row r="19" spans="1:28" s="211" customFormat="1" ht="45" customHeight="1" x14ac:dyDescent="0.25">
      <c r="A19" s="194">
        <f t="shared" si="4"/>
        <v>12</v>
      </c>
      <c r="B19" s="8" t="str">
        <f>+'Trịnh Quang Lê (5-56)'!F9</f>
        <v>Trịnh Quang Lê -  Đỗ Thị Nguyệt</v>
      </c>
      <c r="C19" s="34" t="str">
        <f>+'Trịnh Quang Lê (5-56)'!C12</f>
        <v>0380700144311 - 001175042864</v>
      </c>
      <c r="D19" s="205" t="str">
        <f>+'Trịnh Quang Lê (5-56)'!C10</f>
        <v>Thôn Phố Gốt - xã Phú Nghĩa - TP Hà Nội</v>
      </c>
      <c r="E19" s="34"/>
      <c r="F19" s="188" t="str">
        <f>+'Trịnh Quang Lê (5-56)'!F19</f>
        <v>05</v>
      </c>
      <c r="G19" s="188">
        <f>+'Trịnh Quang Lê (5-56)'!C19</f>
        <v>56</v>
      </c>
      <c r="H19" s="190">
        <f>+'Trịnh Quang Lê (5-56)'!C20</f>
        <v>50.1</v>
      </c>
      <c r="I19" s="190">
        <f>+'Trịnh Quang Lê (5-56)'!C22</f>
        <v>42.6</v>
      </c>
      <c r="J19" s="190">
        <f t="shared" si="5"/>
        <v>7.5</v>
      </c>
      <c r="K19" s="190">
        <f t="shared" si="2"/>
        <v>42.6</v>
      </c>
      <c r="L19" s="190"/>
      <c r="M19" s="190">
        <f t="shared" si="1"/>
        <v>42.6</v>
      </c>
      <c r="N19" s="190" t="str">
        <f>+'Trịnh Quang Lê (5-56)'!H27</f>
        <v>01</v>
      </c>
      <c r="O19" s="188" t="str">
        <f>+'Trịnh Quang Lê (5-56)'!H28</f>
        <v>04</v>
      </c>
      <c r="P19" s="189">
        <f>+'Trịnh Quang Lê (5-56)'!H35</f>
        <v>0</v>
      </c>
      <c r="Q19" s="214">
        <f>+'Trịnh Quang Lê (5-56)'!H50</f>
        <v>0</v>
      </c>
      <c r="R19" s="214">
        <f>+'Trịnh Quang Lê (5-56)'!H63</f>
        <v>0</v>
      </c>
      <c r="S19" s="189">
        <f t="shared" si="3"/>
        <v>0</v>
      </c>
      <c r="T19" s="215"/>
      <c r="U19" s="215"/>
      <c r="W19" s="196"/>
      <c r="X19" s="9"/>
      <c r="Y19" s="16"/>
      <c r="Z19" s="213"/>
      <c r="AA19" s="209"/>
    </row>
    <row r="20" spans="1:28" s="211" customFormat="1" ht="45" customHeight="1" x14ac:dyDescent="0.25">
      <c r="A20" s="194">
        <f t="shared" si="4"/>
        <v>13</v>
      </c>
      <c r="B20" s="8" t="str">
        <f>+'Nguyễn Đức Tú (6-62)'!F9</f>
        <v>Nguyễn Đức Tú</v>
      </c>
      <c r="C20" s="34" t="str">
        <f>+'Nguyễn Đức Tú (6-62)'!C12</f>
        <v>001095032801</v>
      </c>
      <c r="D20" s="205" t="str">
        <f>+'Nguyễn Đức Tú (6-62)'!C10</f>
        <v>Thôn Phố Gốt - xã Phú Nghĩa - TP Hà Nội</v>
      </c>
      <c r="E20" s="34"/>
      <c r="F20" s="188" t="str">
        <f>+'Nguyễn Đức Tú (6-62)'!F19</f>
        <v>06</v>
      </c>
      <c r="G20" s="188">
        <f>+'Nguyễn Đức Tú (6-62)'!C19</f>
        <v>62</v>
      </c>
      <c r="H20" s="190">
        <f>+'Nguyễn Đức Tú (6-62)'!C20</f>
        <v>111.5</v>
      </c>
      <c r="I20" s="190">
        <f>+'Nguyễn Đức Tú (6-62)'!C22</f>
        <v>37.6</v>
      </c>
      <c r="J20" s="190">
        <f t="shared" si="5"/>
        <v>73.900000000000006</v>
      </c>
      <c r="K20" s="190">
        <f t="shared" si="2"/>
        <v>37.6</v>
      </c>
      <c r="L20" s="190"/>
      <c r="M20" s="190">
        <f t="shared" si="1"/>
        <v>37.6</v>
      </c>
      <c r="N20" s="190" t="str">
        <f>+'Nguyễn Đức Tú (6-62)'!H26</f>
        <v>01</v>
      </c>
      <c r="O20" s="188" t="str">
        <f>+'Nguyễn Đức Tú (6-62)'!H27</f>
        <v>04</v>
      </c>
      <c r="P20" s="189">
        <f>+'Nguyễn Đức Tú (6-62)'!H34</f>
        <v>0</v>
      </c>
      <c r="Q20" s="214">
        <f>+'Nguyễn Đức Tú (6-62)'!H49</f>
        <v>0</v>
      </c>
      <c r="R20" s="214">
        <f>+'Nguyễn Đức Tú (6-62)'!H55</f>
        <v>0</v>
      </c>
      <c r="S20" s="189">
        <f t="shared" si="3"/>
        <v>0</v>
      </c>
      <c r="T20" s="215"/>
      <c r="U20" s="215"/>
      <c r="W20" s="196"/>
      <c r="X20" s="9"/>
      <c r="Y20" s="16"/>
      <c r="Z20" s="213"/>
      <c r="AA20" s="209"/>
    </row>
    <row r="21" spans="1:28" s="211" customFormat="1" ht="45" customHeight="1" x14ac:dyDescent="0.25">
      <c r="A21" s="194">
        <f t="shared" si="4"/>
        <v>14</v>
      </c>
      <c r="B21" s="8" t="str">
        <f>+'Lê Văn Tâm (6-64)'!F9</f>
        <v>Lê Văn Tâm - Bùi Thị Lan</v>
      </c>
      <c r="C21" s="34" t="str">
        <f>+'Lê Văn Tâm (6-64)'!C12</f>
        <v>001059033000</v>
      </c>
      <c r="D21" s="205" t="str">
        <f>+'Lê Văn Tâm (6-64)'!C10</f>
        <v>Thôn Phố Gốt - Xã Phú Nghĩa - TP Hà Nội</v>
      </c>
      <c r="E21" s="34"/>
      <c r="F21" s="188" t="str">
        <f>+'Lê Văn Tâm (6-64)'!F19</f>
        <v>06</v>
      </c>
      <c r="G21" s="188">
        <f>+'Lê Văn Tâm (6-64)'!C19</f>
        <v>64</v>
      </c>
      <c r="H21" s="190">
        <f>+'Lê Văn Tâm (6-64)'!C20</f>
        <v>110.5</v>
      </c>
      <c r="I21" s="190">
        <f>+'Lê Văn Tâm (6-64)'!C22</f>
        <v>37.1</v>
      </c>
      <c r="J21" s="190">
        <f t="shared" si="5"/>
        <v>73.400000000000006</v>
      </c>
      <c r="K21" s="190">
        <f t="shared" si="2"/>
        <v>37.1</v>
      </c>
      <c r="L21" s="190"/>
      <c r="M21" s="190">
        <f t="shared" si="1"/>
        <v>37.1</v>
      </c>
      <c r="N21" s="190">
        <f>+'Lê Văn Tâm (6-64)'!H26</f>
        <v>0</v>
      </c>
      <c r="O21" s="189">
        <f>+'Lê Văn Tâm (6-64)'!H27</f>
        <v>0</v>
      </c>
      <c r="P21" s="189">
        <f>+'Lê Văn Tâm (6-64)'!H34</f>
        <v>0</v>
      </c>
      <c r="Q21" s="189">
        <f>+'Lê Văn Tâm (6-64)'!H49</f>
        <v>0</v>
      </c>
      <c r="R21" s="214">
        <f>+'Nguyễn Đức Tú (6-62)'!H55</f>
        <v>0</v>
      </c>
      <c r="S21" s="189">
        <f t="shared" si="3"/>
        <v>0</v>
      </c>
      <c r="T21" s="208"/>
      <c r="U21" s="215"/>
      <c r="W21" s="196"/>
      <c r="X21" s="9"/>
      <c r="Y21" s="16"/>
      <c r="Z21" s="213"/>
      <c r="AA21" s="209"/>
    </row>
    <row r="22" spans="1:28" s="211" customFormat="1" ht="45" customHeight="1" x14ac:dyDescent="0.25">
      <c r="A22" s="194">
        <f t="shared" si="4"/>
        <v>15</v>
      </c>
      <c r="B22" s="8" t="str">
        <f>+'Nguyễn Vũ Mạnh (6-4)'!F9</f>
        <v>Nguyễn Vũ Mạnh</v>
      </c>
      <c r="C22" s="34" t="str">
        <f>+'Nguyễn Vũ Mạnh (6-4)'!C12</f>
        <v>001065037043</v>
      </c>
      <c r="D22" s="205" t="str">
        <f>+'Nguyễn Vũ Mạnh (6-4)'!C10</f>
        <v>Thôn Thanh Trì - xã Phú Nghĩa - TP Hà Nội</v>
      </c>
      <c r="E22" s="34"/>
      <c r="F22" s="188" t="str">
        <f>+'Nguyễn Vũ Mạnh (6-4)'!F19</f>
        <v>06</v>
      </c>
      <c r="G22" s="188" t="str">
        <f>+'Nguyễn Vũ Mạnh (6-4)'!C19</f>
        <v>04</v>
      </c>
      <c r="H22" s="190">
        <f>+'Nguyễn Vũ Mạnh (6-4)'!C20</f>
        <v>660.5</v>
      </c>
      <c r="I22" s="190">
        <f>+'Nguyễn Vũ Mạnh (6-4)'!C22</f>
        <v>256.60000000000002</v>
      </c>
      <c r="J22" s="190">
        <f t="shared" si="5"/>
        <v>403.9</v>
      </c>
      <c r="K22" s="190">
        <f t="shared" si="2"/>
        <v>256.60000000000002</v>
      </c>
      <c r="L22" s="190"/>
      <c r="M22" s="190">
        <f t="shared" si="1"/>
        <v>256.60000000000002</v>
      </c>
      <c r="N22" s="190" t="str">
        <f>+'Nguyễn Vũ Mạnh (6-4)'!H26</f>
        <v>02</v>
      </c>
      <c r="O22" s="188" t="str">
        <f>+'Nguyễn Vũ Mạnh (6-4)'!H27</f>
        <v>07</v>
      </c>
      <c r="P22" s="189">
        <f>+'Nguyễn Vũ Mạnh (6-4)'!H34</f>
        <v>0</v>
      </c>
      <c r="Q22" s="189">
        <f>+'Nguyễn Vũ Mạnh (6-4)'!H49</f>
        <v>0</v>
      </c>
      <c r="R22" s="189">
        <f>+'Nguyễn Vũ Mạnh (6-4)'!H59</f>
        <v>0</v>
      </c>
      <c r="S22" s="189">
        <f t="shared" si="3"/>
        <v>0</v>
      </c>
      <c r="T22" s="208"/>
      <c r="U22" s="208"/>
      <c r="W22" s="196"/>
      <c r="X22" s="9"/>
      <c r="Y22" s="16"/>
      <c r="Z22" s="213"/>
      <c r="AA22" s="209"/>
    </row>
    <row r="23" spans="1:28" s="211" customFormat="1" ht="45" customHeight="1" x14ac:dyDescent="0.25">
      <c r="A23" s="194">
        <f t="shared" si="4"/>
        <v>16</v>
      </c>
      <c r="B23" s="8" t="str">
        <f>+'Nguyễn Bá Ước (6-3)'!F9</f>
        <v>Nguyễn Bá Ước - Nguyễn Thị Xuân</v>
      </c>
      <c r="C23" s="34" t="str">
        <f>+'Nguyễn Bá Ước (6-3)'!C12</f>
        <v>001065023600</v>
      </c>
      <c r="D23" s="205" t="str">
        <f>+'Nguyễn Bá Ước (6-3)'!C10</f>
        <v>Thôn Thanh Trì - xã Phú Nghĩa - TP Hà Nội</v>
      </c>
      <c r="E23" s="34"/>
      <c r="F23" s="188" t="str">
        <f>+'Nguyễn Bá Ước (6-3)'!F19</f>
        <v>03</v>
      </c>
      <c r="G23" s="188" t="str">
        <f>+'Nguyễn Bá Ước (6-3)'!C19</f>
        <v>06</v>
      </c>
      <c r="H23" s="190" t="str">
        <f>+'Nguyễn Bá Ước (6-3)'!C20</f>
        <v>1087,7</v>
      </c>
      <c r="I23" s="190">
        <f>+'Nguyễn Bá Ước (6-3)'!C22</f>
        <v>91</v>
      </c>
      <c r="J23" s="190">
        <f t="shared" si="5"/>
        <v>996.7</v>
      </c>
      <c r="K23" s="190">
        <f t="shared" si="2"/>
        <v>91</v>
      </c>
      <c r="L23" s="190"/>
      <c r="M23" s="190">
        <f t="shared" si="1"/>
        <v>91</v>
      </c>
      <c r="N23" s="190" t="str">
        <f>+'Nguyễn Bá Ước (6-3)'!H26</f>
        <v>01</v>
      </c>
      <c r="O23" s="188" t="str">
        <f>+'Nguyễn Bá Ước (6-3)'!H27</f>
        <v>06</v>
      </c>
      <c r="P23" s="189">
        <f>+'Nguyễn Bá Ước (6-3)'!H34</f>
        <v>0</v>
      </c>
      <c r="Q23" s="189">
        <f>+'Nguyễn Bá Ước (6-3)'!H49</f>
        <v>0</v>
      </c>
      <c r="R23" s="189">
        <f>+'Nguyễn Bá Ước (6-3)'!H55</f>
        <v>0</v>
      </c>
      <c r="S23" s="189">
        <f t="shared" si="3"/>
        <v>0</v>
      </c>
      <c r="T23" s="208"/>
      <c r="U23" s="208"/>
      <c r="W23" s="196"/>
      <c r="X23" s="9"/>
      <c r="Y23" s="16"/>
      <c r="Z23" s="213"/>
      <c r="AA23" s="209"/>
    </row>
    <row r="24" spans="1:28" s="211" customFormat="1" ht="45" customHeight="1" x14ac:dyDescent="0.25">
      <c r="A24" s="194">
        <f t="shared" si="4"/>
        <v>17</v>
      </c>
      <c r="B24" s="8" t="str">
        <f>+'Trần Trọng Hùng (6-55)'!F9</f>
        <v>Trần Trọng Hùng - Nguyễn Thị Minh</v>
      </c>
      <c r="C24" s="34" t="str">
        <f>+'Trần Trọng Hùng (6-55)'!C12</f>
        <v>001048000728 - 001153001127</v>
      </c>
      <c r="D24" s="205" t="str">
        <f>+'Trần Trọng Hùng (6-55)'!C10</f>
        <v>Thôn Phố Gốt - xã Phú Nghĩa - TP Hà Nội</v>
      </c>
      <c r="E24" s="34"/>
      <c r="F24" s="188" t="str">
        <f>+'Trần Trọng Hùng (6-55)'!F19</f>
        <v>06</v>
      </c>
      <c r="G24" s="188">
        <f>+'Trần Trọng Hùng (6-55)'!C19</f>
        <v>55</v>
      </c>
      <c r="H24" s="190">
        <f>+'Trần Trọng Hùng (6-55)'!C20</f>
        <v>336.2</v>
      </c>
      <c r="I24" s="190">
        <f>+'Trần Trọng Hùng (6-55)'!C22</f>
        <v>68.3</v>
      </c>
      <c r="J24" s="190">
        <f t="shared" si="5"/>
        <v>267.89999999999998</v>
      </c>
      <c r="K24" s="190">
        <f t="shared" si="2"/>
        <v>68.3</v>
      </c>
      <c r="L24" s="190"/>
      <c r="M24" s="190">
        <f t="shared" si="1"/>
        <v>68.3</v>
      </c>
      <c r="N24" s="190" t="str">
        <f>+'Trần Trọng Hùng (6-55)'!H26</f>
        <v>01</v>
      </c>
      <c r="O24" s="188">
        <f>+'Trần Trọng Hùng (6-55)'!H27</f>
        <v>10</v>
      </c>
      <c r="P24" s="189">
        <f>+'Trần Trọng Hùng (6-55)'!H34</f>
        <v>0</v>
      </c>
      <c r="Q24" s="189">
        <f>+'Trần Trọng Hùng (6-55)'!H49</f>
        <v>0</v>
      </c>
      <c r="R24" s="189">
        <f>+'Trần Trọng Hùng (6-55)'!H57</f>
        <v>0</v>
      </c>
      <c r="S24" s="189">
        <f t="shared" si="3"/>
        <v>0</v>
      </c>
      <c r="T24" s="208"/>
      <c r="U24" s="208"/>
      <c r="W24" s="196"/>
      <c r="X24" s="9"/>
      <c r="Y24" s="16"/>
      <c r="Z24" s="213"/>
      <c r="AA24" s="209"/>
    </row>
    <row r="25" spans="1:28" s="211" customFormat="1" ht="45" customHeight="1" x14ac:dyDescent="0.25">
      <c r="A25" s="194">
        <f t="shared" si="4"/>
        <v>18</v>
      </c>
      <c r="B25" s="8" t="str">
        <f>+'Trịnh Văn Hưởng (6-63)'!F9</f>
        <v>Trịnh Văn Hưởng - Nguyễn Thị Lan</v>
      </c>
      <c r="C25" s="34" t="str">
        <f>+'Trịnh Văn Hưởng (6-63)'!C12</f>
        <v>00105514876</v>
      </c>
      <c r="D25" s="205" t="str">
        <f>+'Trịnh Văn Hưởng (6-63)'!C10</f>
        <v>Thôn Quyết Thượng - xã Phú Nghĩa - TP Hà Nội</v>
      </c>
      <c r="E25" s="34"/>
      <c r="F25" s="188" t="str">
        <f>+'Trịnh Văn Hưởng (6-63)'!F19</f>
        <v>06</v>
      </c>
      <c r="G25" s="188">
        <f>+'Trịnh Văn Hưởng (6-63)'!C19</f>
        <v>63</v>
      </c>
      <c r="H25" s="190">
        <f>+'Trịnh Văn Hưởng (6-63)'!C20</f>
        <v>115.7</v>
      </c>
      <c r="I25" s="190">
        <f>+'Trịnh Văn Hưởng (6-63)'!C22</f>
        <v>35.9</v>
      </c>
      <c r="J25" s="190">
        <f t="shared" si="5"/>
        <v>79.800000000000011</v>
      </c>
      <c r="K25" s="190">
        <f t="shared" si="2"/>
        <v>35.9</v>
      </c>
      <c r="L25" s="190"/>
      <c r="M25" s="190">
        <f t="shared" si="1"/>
        <v>35.9</v>
      </c>
      <c r="N25" s="190" t="str">
        <f>+'Trịnh Văn Hưởng (6-63)'!H26</f>
        <v>01</v>
      </c>
      <c r="O25" s="188" t="str">
        <f>+'Trịnh Văn Hưởng (6-63)'!H27</f>
        <v>06</v>
      </c>
      <c r="P25" s="189">
        <f>+'Trịnh Văn Hưởng (6-63)'!H34</f>
        <v>0</v>
      </c>
      <c r="Q25" s="189">
        <f>+'Trịnh Văn Hưởng (6-63)'!H49</f>
        <v>0</v>
      </c>
      <c r="R25" s="189">
        <f>+'Trịnh Văn Hưởng (6-63)'!H55</f>
        <v>0</v>
      </c>
      <c r="S25" s="189">
        <f t="shared" si="3"/>
        <v>0</v>
      </c>
      <c r="T25" s="208"/>
      <c r="U25" s="208"/>
      <c r="W25" s="196"/>
      <c r="X25" s="9"/>
      <c r="Y25" s="16"/>
      <c r="Z25" s="213"/>
      <c r="AA25" s="209"/>
    </row>
    <row r="26" spans="1:28" s="211" customFormat="1" ht="45" customHeight="1" x14ac:dyDescent="0.25">
      <c r="A26" s="194">
        <f t="shared" si="4"/>
        <v>19</v>
      </c>
      <c r="B26" s="8" t="e">
        <f>+#REF!</f>
        <v>#REF!</v>
      </c>
      <c r="C26" s="34" t="e">
        <f>+#REF!</f>
        <v>#REF!</v>
      </c>
      <c r="D26" s="205" t="e">
        <f>+#REF!</f>
        <v>#REF!</v>
      </c>
      <c r="E26" s="34"/>
      <c r="F26" s="188" t="e">
        <f>+#REF!</f>
        <v>#REF!</v>
      </c>
      <c r="G26" s="188" t="e">
        <f>+#REF!</f>
        <v>#REF!</v>
      </c>
      <c r="H26" s="190" t="e">
        <f>+#REF!</f>
        <v>#REF!</v>
      </c>
      <c r="I26" s="190" t="e">
        <f>+#REF!</f>
        <v>#REF!</v>
      </c>
      <c r="J26" s="190" t="e">
        <f t="shared" si="5"/>
        <v>#REF!</v>
      </c>
      <c r="K26" s="190" t="e">
        <f t="shared" si="2"/>
        <v>#REF!</v>
      </c>
      <c r="L26" s="190"/>
      <c r="M26" s="190" t="e">
        <f t="shared" si="1"/>
        <v>#REF!</v>
      </c>
      <c r="N26" s="190" t="e">
        <f>+#REF!</f>
        <v>#REF!</v>
      </c>
      <c r="O26" s="188" t="e">
        <f>+#REF!</f>
        <v>#REF!</v>
      </c>
      <c r="P26" s="189" t="e">
        <f>+#REF!</f>
        <v>#REF!</v>
      </c>
      <c r="Q26" s="188" t="e">
        <f>+#REF!</f>
        <v>#REF!</v>
      </c>
      <c r="R26" s="188" t="e">
        <f>+#REF!</f>
        <v>#REF!</v>
      </c>
      <c r="S26" s="189" t="e">
        <f t="shared" si="3"/>
        <v>#REF!</v>
      </c>
      <c r="T26" s="212"/>
      <c r="U26" s="212"/>
      <c r="W26" s="196"/>
      <c r="X26" s="9"/>
      <c r="Y26" s="16"/>
      <c r="Z26" s="213"/>
      <c r="AA26" s="209"/>
    </row>
    <row r="27" spans="1:28" s="211" customFormat="1" ht="45" customHeight="1" x14ac:dyDescent="0.25">
      <c r="A27" s="194">
        <f t="shared" si="4"/>
        <v>20</v>
      </c>
      <c r="B27" s="8" t="e">
        <f>+#REF!</f>
        <v>#REF!</v>
      </c>
      <c r="C27" s="34" t="e">
        <f>+#REF!</f>
        <v>#REF!</v>
      </c>
      <c r="D27" s="205" t="e">
        <f>+#REF!</f>
        <v>#REF!</v>
      </c>
      <c r="E27" s="34"/>
      <c r="F27" s="188" t="e">
        <f>+#REF!</f>
        <v>#REF!</v>
      </c>
      <c r="G27" s="188" t="e">
        <f>+#REF!</f>
        <v>#REF!</v>
      </c>
      <c r="H27" s="190" t="e">
        <f>+#REF!</f>
        <v>#REF!</v>
      </c>
      <c r="I27" s="190" t="e">
        <f>+#REF!</f>
        <v>#REF!</v>
      </c>
      <c r="J27" s="190" t="e">
        <f t="shared" si="5"/>
        <v>#REF!</v>
      </c>
      <c r="K27" s="190" t="e">
        <f t="shared" si="2"/>
        <v>#REF!</v>
      </c>
      <c r="L27" s="190"/>
      <c r="M27" s="190" t="e">
        <f t="shared" si="1"/>
        <v>#REF!</v>
      </c>
      <c r="N27" s="190" t="e">
        <f>+#REF!</f>
        <v>#REF!</v>
      </c>
      <c r="O27" s="188" t="e">
        <f>+#REF!</f>
        <v>#REF!</v>
      </c>
      <c r="P27" s="189" t="e">
        <f>+#REF!</f>
        <v>#REF!</v>
      </c>
      <c r="Q27" s="189" t="e">
        <f>+#REF!</f>
        <v>#REF!</v>
      </c>
      <c r="R27" s="189" t="e">
        <f>+#REF!</f>
        <v>#REF!</v>
      </c>
      <c r="S27" s="189" t="e">
        <f t="shared" si="3"/>
        <v>#REF!</v>
      </c>
      <c r="T27" s="208"/>
      <c r="U27" s="208"/>
      <c r="W27" s="196"/>
      <c r="X27" s="9"/>
      <c r="Y27" s="16"/>
      <c r="Z27" s="213"/>
      <c r="AA27" s="209"/>
    </row>
    <row r="28" spans="1:28" s="7" customFormat="1" ht="18.75" hidden="1" x14ac:dyDescent="0.25">
      <c r="A28" s="194" t="e">
        <f>+#REF!+1</f>
        <v>#REF!</v>
      </c>
      <c r="B28" s="17" t="e">
        <f>+#REF!</f>
        <v>#REF!</v>
      </c>
      <c r="C28" s="35" t="e">
        <f>+#REF!</f>
        <v>#REF!</v>
      </c>
      <c r="D28" s="216" t="e">
        <f>+#REF!</f>
        <v>#REF!</v>
      </c>
      <c r="E28" s="31" t="e">
        <f>+#REF!</f>
        <v>#REF!</v>
      </c>
      <c r="F28" s="32" t="e">
        <f>+#REF!</f>
        <v>#REF!</v>
      </c>
      <c r="G28" s="32" t="e">
        <f>+#REF!</f>
        <v>#REF!</v>
      </c>
      <c r="H28" s="33" t="e">
        <f>+#REF!</f>
        <v>#REF!</v>
      </c>
      <c r="I28" s="33" t="e">
        <f>+#REF!</f>
        <v>#REF!</v>
      </c>
      <c r="J28" s="33" t="e">
        <f t="shared" si="5"/>
        <v>#REF!</v>
      </c>
      <c r="K28" s="33"/>
      <c r="L28" s="33"/>
      <c r="M28" s="33"/>
      <c r="N28" s="33"/>
      <c r="O28" s="33"/>
      <c r="P28" s="33"/>
      <c r="Q28" s="32"/>
      <c r="R28" s="32"/>
      <c r="S28" s="6">
        <f t="shared" si="3"/>
        <v>0</v>
      </c>
      <c r="W28" s="197"/>
      <c r="X28" s="18"/>
      <c r="Y28" s="19"/>
      <c r="Z28" s="10" t="e">
        <f>#REF!</f>
        <v>#REF!</v>
      </c>
      <c r="AA28" s="6" t="s">
        <v>79</v>
      </c>
      <c r="AB28" s="7" t="e">
        <f>#REF!</f>
        <v>#REF!</v>
      </c>
    </row>
    <row r="29" spans="1:28" s="5" customFormat="1" ht="36.75" customHeight="1" thickBot="1" x14ac:dyDescent="0.35">
      <c r="A29" s="203"/>
      <c r="B29" s="14" t="s">
        <v>80</v>
      </c>
      <c r="C29" s="217"/>
      <c r="D29" s="218"/>
      <c r="E29" s="217"/>
      <c r="F29" s="219"/>
      <c r="G29" s="219"/>
      <c r="H29" s="220" t="e">
        <f t="shared" ref="H29:M29" si="6">SUM(H8:H27)</f>
        <v>#REF!</v>
      </c>
      <c r="I29" s="220" t="e">
        <f t="shared" si="6"/>
        <v>#REF!</v>
      </c>
      <c r="J29" s="220" t="e">
        <f t="shared" si="6"/>
        <v>#REF!</v>
      </c>
      <c r="K29" s="220" t="e">
        <f t="shared" si="6"/>
        <v>#REF!</v>
      </c>
      <c r="L29" s="220">
        <f t="shared" si="6"/>
        <v>0</v>
      </c>
      <c r="M29" s="220" t="e">
        <f t="shared" si="6"/>
        <v>#REF!</v>
      </c>
      <c r="N29" s="220"/>
      <c r="O29" s="220"/>
      <c r="P29" s="220" t="e">
        <f>SUM(P8:P27)</f>
        <v>#REF!</v>
      </c>
      <c r="Q29" s="220" t="e">
        <f>SUM(P8:P27)</f>
        <v>#REF!</v>
      </c>
      <c r="R29" s="220" t="e">
        <f>SUM(Q8:Q27)</f>
        <v>#REF!</v>
      </c>
      <c r="S29" s="221" t="e">
        <f>SUM(R8:R27)</f>
        <v>#REF!</v>
      </c>
      <c r="T29" s="199"/>
      <c r="U29" s="199"/>
      <c r="V29" s="199"/>
      <c r="W29" s="198">
        <f>SUM(W8:W27)</f>
        <v>0</v>
      </c>
      <c r="X29" s="15">
        <f>SUM(X8:X27)</f>
        <v>0</v>
      </c>
      <c r="Y29" s="15">
        <f>SUM(Y8:Y27)</f>
        <v>0</v>
      </c>
      <c r="Z29" s="3"/>
      <c r="AA29" s="4"/>
    </row>
    <row r="30" spans="1:28" ht="15.75" thickTop="1" x14ac:dyDescent="0.25"/>
    <row r="32" spans="1:28" x14ac:dyDescent="0.25">
      <c r="N32" s="13"/>
      <c r="O32" s="405"/>
      <c r="P32" s="405"/>
      <c r="Q32" s="405"/>
      <c r="R32" s="405"/>
      <c r="S32" s="405"/>
      <c r="T32" s="405"/>
      <c r="U32" s="405"/>
      <c r="V32" s="405"/>
      <c r="W32" s="405"/>
      <c r="X32" s="405"/>
      <c r="Y32" s="405"/>
    </row>
    <row r="33" spans="14:25" x14ac:dyDescent="0.25">
      <c r="N33" s="13"/>
      <c r="O33" s="405"/>
      <c r="P33" s="405"/>
      <c r="Q33" s="405"/>
      <c r="R33" s="405"/>
      <c r="S33" s="405"/>
      <c r="T33" s="405"/>
      <c r="U33" s="405"/>
      <c r="V33" s="405"/>
      <c r="W33" s="405"/>
      <c r="X33" s="405"/>
      <c r="Y33" s="405"/>
    </row>
    <row r="34" spans="14:25" x14ac:dyDescent="0.25">
      <c r="N34" s="13"/>
      <c r="O34" s="405"/>
      <c r="P34" s="405"/>
      <c r="Q34" s="405"/>
      <c r="R34" s="405"/>
      <c r="S34" s="405"/>
      <c r="T34" s="405"/>
      <c r="U34" s="405"/>
      <c r="V34" s="405"/>
      <c r="W34" s="405"/>
      <c r="X34" s="405"/>
      <c r="Y34" s="405"/>
    </row>
    <row r="35" spans="14:25" x14ac:dyDescent="0.25">
      <c r="N35" s="13"/>
      <c r="O35" s="13"/>
      <c r="P35" s="13"/>
      <c r="Q35" s="13"/>
      <c r="R35" s="13"/>
      <c r="S35" s="13"/>
      <c r="T35" s="13"/>
      <c r="U35" s="13"/>
      <c r="V35" s="13"/>
      <c r="W35" s="13"/>
      <c r="X35" s="13"/>
      <c r="Y35" s="13"/>
    </row>
    <row r="36" spans="14:25" x14ac:dyDescent="0.25">
      <c r="N36" s="13"/>
      <c r="O36" s="13"/>
      <c r="P36" s="13"/>
      <c r="Q36" s="13"/>
      <c r="R36" s="13"/>
      <c r="S36" s="13"/>
      <c r="T36" s="13"/>
      <c r="U36" s="13"/>
      <c r="V36" s="13"/>
      <c r="W36" s="13"/>
      <c r="X36" s="13"/>
      <c r="Y36" s="13"/>
    </row>
    <row r="37" spans="14:25" x14ac:dyDescent="0.25">
      <c r="N37" s="13"/>
      <c r="O37" s="13"/>
      <c r="P37" s="13"/>
      <c r="Q37" s="13"/>
      <c r="R37" s="13"/>
      <c r="S37" s="13"/>
      <c r="T37" s="13"/>
      <c r="U37" s="13"/>
      <c r="V37" s="13"/>
      <c r="W37" s="13"/>
      <c r="X37" s="13"/>
      <c r="Y37" s="13"/>
    </row>
    <row r="38" spans="14:25" x14ac:dyDescent="0.25">
      <c r="N38" s="13"/>
      <c r="O38" s="13"/>
      <c r="P38" s="13"/>
      <c r="Q38" s="13"/>
      <c r="R38" s="13"/>
      <c r="S38" s="13"/>
      <c r="T38" s="13"/>
      <c r="U38" s="13"/>
      <c r="V38" s="13"/>
      <c r="W38" s="13"/>
      <c r="X38" s="13"/>
      <c r="Y38" s="13"/>
    </row>
    <row r="39" spans="14:25" x14ac:dyDescent="0.25">
      <c r="N39" s="13"/>
      <c r="O39" s="13"/>
      <c r="P39" s="13"/>
      <c r="Q39" s="13"/>
      <c r="R39" s="13"/>
      <c r="S39" s="13"/>
      <c r="T39" s="13"/>
      <c r="U39" s="13"/>
      <c r="V39" s="13"/>
      <c r="W39" s="13"/>
      <c r="X39" s="13"/>
      <c r="Y39" s="13"/>
    </row>
    <row r="40" spans="14:25" x14ac:dyDescent="0.25">
      <c r="N40" s="13"/>
      <c r="O40" s="13"/>
      <c r="P40" s="13"/>
      <c r="Q40" s="13"/>
      <c r="R40" s="13"/>
      <c r="S40" s="13"/>
      <c r="T40" s="13"/>
      <c r="U40" s="13"/>
      <c r="V40" s="13"/>
      <c r="W40" s="13"/>
      <c r="X40" s="13"/>
      <c r="Y40" s="13"/>
    </row>
    <row r="41" spans="14:25" x14ac:dyDescent="0.25">
      <c r="N41" s="13"/>
      <c r="O41" s="405"/>
      <c r="P41" s="405"/>
      <c r="Q41" s="405"/>
      <c r="R41" s="405"/>
      <c r="S41" s="405"/>
      <c r="T41" s="405"/>
      <c r="U41" s="405"/>
      <c r="V41" s="405"/>
      <c r="W41" s="405"/>
      <c r="X41" s="405"/>
      <c r="Y41" s="405"/>
    </row>
  </sheetData>
  <mergeCells count="27">
    <mergeCell ref="A1:S1"/>
    <mergeCell ref="A2:S2"/>
    <mergeCell ref="A4:A6"/>
    <mergeCell ref="B4:B6"/>
    <mergeCell ref="C4:C6"/>
    <mergeCell ref="D4:D6"/>
    <mergeCell ref="E4:E6"/>
    <mergeCell ref="F4:F6"/>
    <mergeCell ref="G4:G6"/>
    <mergeCell ref="H4:M4"/>
    <mergeCell ref="H5:H6"/>
    <mergeCell ref="I5:J5"/>
    <mergeCell ref="K5:K6"/>
    <mergeCell ref="L5:M5"/>
    <mergeCell ref="N4:N6"/>
    <mergeCell ref="O32:Y32"/>
    <mergeCell ref="O33:Y33"/>
    <mergeCell ref="O34:Y34"/>
    <mergeCell ref="O41:Y41"/>
    <mergeCell ref="T4:T6"/>
    <mergeCell ref="U4:U6"/>
    <mergeCell ref="V4:V6"/>
    <mergeCell ref="O4:O6"/>
    <mergeCell ref="P4:P6"/>
    <mergeCell ref="Q4:Q6"/>
    <mergeCell ref="R4:R6"/>
    <mergeCell ref="S4:S6"/>
  </mergeCells>
  <printOptions horizontalCentered="1"/>
  <pageMargins left="0.15748031496062992" right="0.15748031496062992" top="0.39370078740157483" bottom="0.31496062992125984" header="0.19685039370078741" footer="0.27559055118110237"/>
  <pageSetup paperSize="9" scale="80" orientation="portrait" r:id="rId1"/>
  <colBreaks count="1" manualBreakCount="1">
    <brk id="19" max="1048575" man="1"/>
  </colBreaks>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1"/>
  <sheetViews>
    <sheetView zoomScale="85" zoomScaleNormal="85" zoomScaleSheetLayoutView="85" workbookViewId="0">
      <pane ySplit="7" topLeftCell="A8" activePane="bottomLeft" state="frozen"/>
      <selection pane="bottomLeft" activeCell="U9" sqref="U9"/>
    </sheetView>
  </sheetViews>
  <sheetFormatPr defaultColWidth="8.7109375" defaultRowHeight="15" x14ac:dyDescent="0.25"/>
  <cols>
    <col min="1" max="1" width="9.140625" style="202" customWidth="1"/>
    <col min="2" max="2" width="29.42578125" style="2" customWidth="1"/>
    <col min="3" max="3" width="22.7109375" style="2" customWidth="1"/>
    <col min="4" max="4" width="34.28515625" style="204" customWidth="1"/>
    <col min="5" max="5" width="25.28515625" style="2" customWidth="1"/>
    <col min="6" max="6" width="10.42578125" style="2" hidden="1" customWidth="1"/>
    <col min="7" max="7" width="9" style="2" hidden="1" customWidth="1"/>
    <col min="8" max="8" width="12.28515625" style="2" hidden="1" customWidth="1"/>
    <col min="9" max="9" width="12.7109375" style="2" hidden="1" customWidth="1"/>
    <col min="10" max="10" width="10.42578125" style="2" hidden="1" customWidth="1"/>
    <col min="11" max="12" width="11.42578125" style="2" hidden="1" customWidth="1"/>
    <col min="13" max="13" width="14.42578125" style="2" hidden="1" customWidth="1"/>
    <col min="14" max="14" width="8.42578125" style="2" hidden="1" customWidth="1"/>
    <col min="15" max="15" width="9.7109375" style="2" hidden="1" customWidth="1"/>
    <col min="16" max="16" width="12.140625" style="2" hidden="1" customWidth="1"/>
    <col min="17" max="17" width="10" style="2" hidden="1" customWidth="1"/>
    <col min="18" max="18" width="12.42578125" style="2" hidden="1" customWidth="1"/>
    <col min="19" max="19" width="16.7109375" style="2" hidden="1" customWidth="1"/>
    <col min="20" max="20" width="10.140625" style="2" customWidth="1"/>
    <col min="21" max="22" width="14.42578125" style="2" customWidth="1"/>
    <col min="23" max="23" width="16" style="2" customWidth="1"/>
    <col min="24" max="24" width="14.42578125" style="2" customWidth="1"/>
    <col min="25" max="25" width="15.7109375" style="2" customWidth="1"/>
    <col min="26" max="26" width="115.42578125" style="2" customWidth="1"/>
    <col min="27" max="27" width="11.42578125" style="2" customWidth="1"/>
    <col min="28" max="28" width="76.42578125" style="2" customWidth="1"/>
    <col min="29" max="258" width="9.140625" style="2"/>
    <col min="259" max="259" width="7.42578125" style="2" customWidth="1"/>
    <col min="260" max="263" width="14" style="2" customWidth="1"/>
    <col min="264" max="265" width="8.42578125" style="2" customWidth="1"/>
    <col min="266" max="271" width="9.140625" style="2"/>
    <col min="272" max="272" width="10.140625" style="2" bestFit="1" customWidth="1"/>
    <col min="273" max="274" width="9.140625" style="2"/>
    <col min="275" max="275" width="6.7109375" style="2" customWidth="1"/>
    <col min="276" max="276" width="8.42578125" style="2" customWidth="1"/>
    <col min="277" max="283" width="14.42578125" style="2" customWidth="1"/>
    <col min="284" max="284" width="71.7109375" style="2" customWidth="1"/>
    <col min="285" max="514" width="9.140625" style="2"/>
    <col min="515" max="515" width="7.42578125" style="2" customWidth="1"/>
    <col min="516" max="519" width="14" style="2" customWidth="1"/>
    <col min="520" max="521" width="8.42578125" style="2" customWidth="1"/>
    <col min="522" max="527" width="9.140625" style="2"/>
    <col min="528" max="528" width="10.140625" style="2" bestFit="1" customWidth="1"/>
    <col min="529" max="530" width="9.140625" style="2"/>
    <col min="531" max="531" width="6.7109375" style="2" customWidth="1"/>
    <col min="532" max="532" width="8.42578125" style="2" customWidth="1"/>
    <col min="533" max="539" width="14.42578125" style="2" customWidth="1"/>
    <col min="540" max="540" width="71.7109375" style="2" customWidth="1"/>
    <col min="541" max="770" width="9.140625" style="2"/>
    <col min="771" max="771" width="7.42578125" style="2" customWidth="1"/>
    <col min="772" max="775" width="14" style="2" customWidth="1"/>
    <col min="776" max="777" width="8.42578125" style="2" customWidth="1"/>
    <col min="778" max="783" width="9.140625" style="2"/>
    <col min="784" max="784" width="10.140625" style="2" bestFit="1" customWidth="1"/>
    <col min="785" max="786" width="9.140625" style="2"/>
    <col min="787" max="787" width="6.7109375" style="2" customWidth="1"/>
    <col min="788" max="788" width="8.42578125" style="2" customWidth="1"/>
    <col min="789" max="795" width="14.42578125" style="2" customWidth="1"/>
    <col min="796" max="796" width="71.7109375" style="2" customWidth="1"/>
    <col min="797" max="1026" width="9.140625" style="2"/>
    <col min="1027" max="1027" width="7.42578125" style="2" customWidth="1"/>
    <col min="1028" max="1031" width="14" style="2" customWidth="1"/>
    <col min="1032" max="1033" width="8.42578125" style="2" customWidth="1"/>
    <col min="1034" max="1039" width="9.140625" style="2"/>
    <col min="1040" max="1040" width="10.140625" style="2" bestFit="1" customWidth="1"/>
    <col min="1041" max="1042" width="9.140625" style="2"/>
    <col min="1043" max="1043" width="6.7109375" style="2" customWidth="1"/>
    <col min="1044" max="1044" width="8.42578125" style="2" customWidth="1"/>
    <col min="1045" max="1051" width="14.42578125" style="2" customWidth="1"/>
    <col min="1052" max="1052" width="71.7109375" style="2" customWidth="1"/>
    <col min="1053" max="1282" width="9.140625" style="2"/>
    <col min="1283" max="1283" width="7.42578125" style="2" customWidth="1"/>
    <col min="1284" max="1287" width="14" style="2" customWidth="1"/>
    <col min="1288" max="1289" width="8.42578125" style="2" customWidth="1"/>
    <col min="1290" max="1295" width="9.140625" style="2"/>
    <col min="1296" max="1296" width="10.140625" style="2" bestFit="1" customWidth="1"/>
    <col min="1297" max="1298" width="9.140625" style="2"/>
    <col min="1299" max="1299" width="6.7109375" style="2" customWidth="1"/>
    <col min="1300" max="1300" width="8.42578125" style="2" customWidth="1"/>
    <col min="1301" max="1307" width="14.42578125" style="2" customWidth="1"/>
    <col min="1308" max="1308" width="71.7109375" style="2" customWidth="1"/>
    <col min="1309" max="1538" width="9.140625" style="2"/>
    <col min="1539" max="1539" width="7.42578125" style="2" customWidth="1"/>
    <col min="1540" max="1543" width="14" style="2" customWidth="1"/>
    <col min="1544" max="1545" width="8.42578125" style="2" customWidth="1"/>
    <col min="1546" max="1551" width="9.140625" style="2"/>
    <col min="1552" max="1552" width="10.140625" style="2" bestFit="1" customWidth="1"/>
    <col min="1553" max="1554" width="9.140625" style="2"/>
    <col min="1555" max="1555" width="6.7109375" style="2" customWidth="1"/>
    <col min="1556" max="1556" width="8.42578125" style="2" customWidth="1"/>
    <col min="1557" max="1563" width="14.42578125" style="2" customWidth="1"/>
    <col min="1564" max="1564" width="71.7109375" style="2" customWidth="1"/>
    <col min="1565" max="1794" width="9.140625" style="2"/>
    <col min="1795" max="1795" width="7.42578125" style="2" customWidth="1"/>
    <col min="1796" max="1799" width="14" style="2" customWidth="1"/>
    <col min="1800" max="1801" width="8.42578125" style="2" customWidth="1"/>
    <col min="1802" max="1807" width="9.140625" style="2"/>
    <col min="1808" max="1808" width="10.140625" style="2" bestFit="1" customWidth="1"/>
    <col min="1809" max="1810" width="9.140625" style="2"/>
    <col min="1811" max="1811" width="6.7109375" style="2" customWidth="1"/>
    <col min="1812" max="1812" width="8.42578125" style="2" customWidth="1"/>
    <col min="1813" max="1819" width="14.42578125" style="2" customWidth="1"/>
    <col min="1820" max="1820" width="71.7109375" style="2" customWidth="1"/>
    <col min="1821" max="2050" width="9.140625" style="2"/>
    <col min="2051" max="2051" width="7.42578125" style="2" customWidth="1"/>
    <col min="2052" max="2055" width="14" style="2" customWidth="1"/>
    <col min="2056" max="2057" width="8.42578125" style="2" customWidth="1"/>
    <col min="2058" max="2063" width="9.140625" style="2"/>
    <col min="2064" max="2064" width="10.140625" style="2" bestFit="1" customWidth="1"/>
    <col min="2065" max="2066" width="9.140625" style="2"/>
    <col min="2067" max="2067" width="6.7109375" style="2" customWidth="1"/>
    <col min="2068" max="2068" width="8.42578125" style="2" customWidth="1"/>
    <col min="2069" max="2075" width="14.42578125" style="2" customWidth="1"/>
    <col min="2076" max="2076" width="71.7109375" style="2" customWidth="1"/>
    <col min="2077" max="2306" width="9.140625" style="2"/>
    <col min="2307" max="2307" width="7.42578125" style="2" customWidth="1"/>
    <col min="2308" max="2311" width="14" style="2" customWidth="1"/>
    <col min="2312" max="2313" width="8.42578125" style="2" customWidth="1"/>
    <col min="2314" max="2319" width="9.140625" style="2"/>
    <col min="2320" max="2320" width="10.140625" style="2" bestFit="1" customWidth="1"/>
    <col min="2321" max="2322" width="9.140625" style="2"/>
    <col min="2323" max="2323" width="6.7109375" style="2" customWidth="1"/>
    <col min="2324" max="2324" width="8.42578125" style="2" customWidth="1"/>
    <col min="2325" max="2331" width="14.42578125" style="2" customWidth="1"/>
    <col min="2332" max="2332" width="71.7109375" style="2" customWidth="1"/>
    <col min="2333" max="2562" width="9.140625" style="2"/>
    <col min="2563" max="2563" width="7.42578125" style="2" customWidth="1"/>
    <col min="2564" max="2567" width="14" style="2" customWidth="1"/>
    <col min="2568" max="2569" width="8.42578125" style="2" customWidth="1"/>
    <col min="2570" max="2575" width="9.140625" style="2"/>
    <col min="2576" max="2576" width="10.140625" style="2" bestFit="1" customWidth="1"/>
    <col min="2577" max="2578" width="9.140625" style="2"/>
    <col min="2579" max="2579" width="6.7109375" style="2" customWidth="1"/>
    <col min="2580" max="2580" width="8.42578125" style="2" customWidth="1"/>
    <col min="2581" max="2587" width="14.42578125" style="2" customWidth="1"/>
    <col min="2588" max="2588" width="71.7109375" style="2" customWidth="1"/>
    <col min="2589" max="2818" width="9.140625" style="2"/>
    <col min="2819" max="2819" width="7.42578125" style="2" customWidth="1"/>
    <col min="2820" max="2823" width="14" style="2" customWidth="1"/>
    <col min="2824" max="2825" width="8.42578125" style="2" customWidth="1"/>
    <col min="2826" max="2831" width="9.140625" style="2"/>
    <col min="2832" max="2832" width="10.140625" style="2" bestFit="1" customWidth="1"/>
    <col min="2833" max="2834" width="9.140625" style="2"/>
    <col min="2835" max="2835" width="6.7109375" style="2" customWidth="1"/>
    <col min="2836" max="2836" width="8.42578125" style="2" customWidth="1"/>
    <col min="2837" max="2843" width="14.42578125" style="2" customWidth="1"/>
    <col min="2844" max="2844" width="71.7109375" style="2" customWidth="1"/>
    <col min="2845" max="3074" width="9.140625" style="2"/>
    <col min="3075" max="3075" width="7.42578125" style="2" customWidth="1"/>
    <col min="3076" max="3079" width="14" style="2" customWidth="1"/>
    <col min="3080" max="3081" width="8.42578125" style="2" customWidth="1"/>
    <col min="3082" max="3087" width="9.140625" style="2"/>
    <col min="3088" max="3088" width="10.140625" style="2" bestFit="1" customWidth="1"/>
    <col min="3089" max="3090" width="9.140625" style="2"/>
    <col min="3091" max="3091" width="6.7109375" style="2" customWidth="1"/>
    <col min="3092" max="3092" width="8.42578125" style="2" customWidth="1"/>
    <col min="3093" max="3099" width="14.42578125" style="2" customWidth="1"/>
    <col min="3100" max="3100" width="71.7109375" style="2" customWidth="1"/>
    <col min="3101" max="3330" width="9.140625" style="2"/>
    <col min="3331" max="3331" width="7.42578125" style="2" customWidth="1"/>
    <col min="3332" max="3335" width="14" style="2" customWidth="1"/>
    <col min="3336" max="3337" width="8.42578125" style="2" customWidth="1"/>
    <col min="3338" max="3343" width="9.140625" style="2"/>
    <col min="3344" max="3344" width="10.140625" style="2" bestFit="1" customWidth="1"/>
    <col min="3345" max="3346" width="9.140625" style="2"/>
    <col min="3347" max="3347" width="6.7109375" style="2" customWidth="1"/>
    <col min="3348" max="3348" width="8.42578125" style="2" customWidth="1"/>
    <col min="3349" max="3355" width="14.42578125" style="2" customWidth="1"/>
    <col min="3356" max="3356" width="71.7109375" style="2" customWidth="1"/>
    <col min="3357" max="3586" width="9.140625" style="2"/>
    <col min="3587" max="3587" width="7.42578125" style="2" customWidth="1"/>
    <col min="3588" max="3591" width="14" style="2" customWidth="1"/>
    <col min="3592" max="3593" width="8.42578125" style="2" customWidth="1"/>
    <col min="3594" max="3599" width="9.140625" style="2"/>
    <col min="3600" max="3600" width="10.140625" style="2" bestFit="1" customWidth="1"/>
    <col min="3601" max="3602" width="9.140625" style="2"/>
    <col min="3603" max="3603" width="6.7109375" style="2" customWidth="1"/>
    <col min="3604" max="3604" width="8.42578125" style="2" customWidth="1"/>
    <col min="3605" max="3611" width="14.42578125" style="2" customWidth="1"/>
    <col min="3612" max="3612" width="71.7109375" style="2" customWidth="1"/>
    <col min="3613" max="3842" width="9.140625" style="2"/>
    <col min="3843" max="3843" width="7.42578125" style="2" customWidth="1"/>
    <col min="3844" max="3847" width="14" style="2" customWidth="1"/>
    <col min="3848" max="3849" width="8.42578125" style="2" customWidth="1"/>
    <col min="3850" max="3855" width="9.140625" style="2"/>
    <col min="3856" max="3856" width="10.140625" style="2" bestFit="1" customWidth="1"/>
    <col min="3857" max="3858" width="9.140625" style="2"/>
    <col min="3859" max="3859" width="6.7109375" style="2" customWidth="1"/>
    <col min="3860" max="3860" width="8.42578125" style="2" customWidth="1"/>
    <col min="3861" max="3867" width="14.42578125" style="2" customWidth="1"/>
    <col min="3868" max="3868" width="71.7109375" style="2" customWidth="1"/>
    <col min="3869" max="4098" width="9.140625" style="2"/>
    <col min="4099" max="4099" width="7.42578125" style="2" customWidth="1"/>
    <col min="4100" max="4103" width="14" style="2" customWidth="1"/>
    <col min="4104" max="4105" width="8.42578125" style="2" customWidth="1"/>
    <col min="4106" max="4111" width="9.140625" style="2"/>
    <col min="4112" max="4112" width="10.140625" style="2" bestFit="1" customWidth="1"/>
    <col min="4113" max="4114" width="9.140625" style="2"/>
    <col min="4115" max="4115" width="6.7109375" style="2" customWidth="1"/>
    <col min="4116" max="4116" width="8.42578125" style="2" customWidth="1"/>
    <col min="4117" max="4123" width="14.42578125" style="2" customWidth="1"/>
    <col min="4124" max="4124" width="71.7109375" style="2" customWidth="1"/>
    <col min="4125" max="4354" width="9.140625" style="2"/>
    <col min="4355" max="4355" width="7.42578125" style="2" customWidth="1"/>
    <col min="4356" max="4359" width="14" style="2" customWidth="1"/>
    <col min="4360" max="4361" width="8.42578125" style="2" customWidth="1"/>
    <col min="4362" max="4367" width="9.140625" style="2"/>
    <col min="4368" max="4368" width="10.140625" style="2" bestFit="1" customWidth="1"/>
    <col min="4369" max="4370" width="9.140625" style="2"/>
    <col min="4371" max="4371" width="6.7109375" style="2" customWidth="1"/>
    <col min="4372" max="4372" width="8.42578125" style="2" customWidth="1"/>
    <col min="4373" max="4379" width="14.42578125" style="2" customWidth="1"/>
    <col min="4380" max="4380" width="71.7109375" style="2" customWidth="1"/>
    <col min="4381" max="4610" width="9.140625" style="2"/>
    <col min="4611" max="4611" width="7.42578125" style="2" customWidth="1"/>
    <col min="4612" max="4615" width="14" style="2" customWidth="1"/>
    <col min="4616" max="4617" width="8.42578125" style="2" customWidth="1"/>
    <col min="4618" max="4623" width="9.140625" style="2"/>
    <col min="4624" max="4624" width="10.140625" style="2" bestFit="1" customWidth="1"/>
    <col min="4625" max="4626" width="9.140625" style="2"/>
    <col min="4627" max="4627" width="6.7109375" style="2" customWidth="1"/>
    <col min="4628" max="4628" width="8.42578125" style="2" customWidth="1"/>
    <col min="4629" max="4635" width="14.42578125" style="2" customWidth="1"/>
    <col min="4636" max="4636" width="71.7109375" style="2" customWidth="1"/>
    <col min="4637" max="4866" width="9.140625" style="2"/>
    <col min="4867" max="4867" width="7.42578125" style="2" customWidth="1"/>
    <col min="4868" max="4871" width="14" style="2" customWidth="1"/>
    <col min="4872" max="4873" width="8.42578125" style="2" customWidth="1"/>
    <col min="4874" max="4879" width="9.140625" style="2"/>
    <col min="4880" max="4880" width="10.140625" style="2" bestFit="1" customWidth="1"/>
    <col min="4881" max="4882" width="9.140625" style="2"/>
    <col min="4883" max="4883" width="6.7109375" style="2" customWidth="1"/>
    <col min="4884" max="4884" width="8.42578125" style="2" customWidth="1"/>
    <col min="4885" max="4891" width="14.42578125" style="2" customWidth="1"/>
    <col min="4892" max="4892" width="71.7109375" style="2" customWidth="1"/>
    <col min="4893" max="5122" width="9.140625" style="2"/>
    <col min="5123" max="5123" width="7.42578125" style="2" customWidth="1"/>
    <col min="5124" max="5127" width="14" style="2" customWidth="1"/>
    <col min="5128" max="5129" width="8.42578125" style="2" customWidth="1"/>
    <col min="5130" max="5135" width="9.140625" style="2"/>
    <col min="5136" max="5136" width="10.140625" style="2" bestFit="1" customWidth="1"/>
    <col min="5137" max="5138" width="9.140625" style="2"/>
    <col min="5139" max="5139" width="6.7109375" style="2" customWidth="1"/>
    <col min="5140" max="5140" width="8.42578125" style="2" customWidth="1"/>
    <col min="5141" max="5147" width="14.42578125" style="2" customWidth="1"/>
    <col min="5148" max="5148" width="71.7109375" style="2" customWidth="1"/>
    <col min="5149" max="5378" width="9.140625" style="2"/>
    <col min="5379" max="5379" width="7.42578125" style="2" customWidth="1"/>
    <col min="5380" max="5383" width="14" style="2" customWidth="1"/>
    <col min="5384" max="5385" width="8.42578125" style="2" customWidth="1"/>
    <col min="5386" max="5391" width="9.140625" style="2"/>
    <col min="5392" max="5392" width="10.140625" style="2" bestFit="1" customWidth="1"/>
    <col min="5393" max="5394" width="9.140625" style="2"/>
    <col min="5395" max="5395" width="6.7109375" style="2" customWidth="1"/>
    <col min="5396" max="5396" width="8.42578125" style="2" customWidth="1"/>
    <col min="5397" max="5403" width="14.42578125" style="2" customWidth="1"/>
    <col min="5404" max="5404" width="71.7109375" style="2" customWidth="1"/>
    <col min="5405" max="5634" width="9.140625" style="2"/>
    <col min="5635" max="5635" width="7.42578125" style="2" customWidth="1"/>
    <col min="5636" max="5639" width="14" style="2" customWidth="1"/>
    <col min="5640" max="5641" width="8.42578125" style="2" customWidth="1"/>
    <col min="5642" max="5647" width="9.140625" style="2"/>
    <col min="5648" max="5648" width="10.140625" style="2" bestFit="1" customWidth="1"/>
    <col min="5649" max="5650" width="9.140625" style="2"/>
    <col min="5651" max="5651" width="6.7109375" style="2" customWidth="1"/>
    <col min="5652" max="5652" width="8.42578125" style="2" customWidth="1"/>
    <col min="5653" max="5659" width="14.42578125" style="2" customWidth="1"/>
    <col min="5660" max="5660" width="71.7109375" style="2" customWidth="1"/>
    <col min="5661" max="5890" width="9.140625" style="2"/>
    <col min="5891" max="5891" width="7.42578125" style="2" customWidth="1"/>
    <col min="5892" max="5895" width="14" style="2" customWidth="1"/>
    <col min="5896" max="5897" width="8.42578125" style="2" customWidth="1"/>
    <col min="5898" max="5903" width="9.140625" style="2"/>
    <col min="5904" max="5904" width="10.140625" style="2" bestFit="1" customWidth="1"/>
    <col min="5905" max="5906" width="9.140625" style="2"/>
    <col min="5907" max="5907" width="6.7109375" style="2" customWidth="1"/>
    <col min="5908" max="5908" width="8.42578125" style="2" customWidth="1"/>
    <col min="5909" max="5915" width="14.42578125" style="2" customWidth="1"/>
    <col min="5916" max="5916" width="71.7109375" style="2" customWidth="1"/>
    <col min="5917" max="6146" width="9.140625" style="2"/>
    <col min="6147" max="6147" width="7.42578125" style="2" customWidth="1"/>
    <col min="6148" max="6151" width="14" style="2" customWidth="1"/>
    <col min="6152" max="6153" width="8.42578125" style="2" customWidth="1"/>
    <col min="6154" max="6159" width="9.140625" style="2"/>
    <col min="6160" max="6160" width="10.140625" style="2" bestFit="1" customWidth="1"/>
    <col min="6161" max="6162" width="9.140625" style="2"/>
    <col min="6163" max="6163" width="6.7109375" style="2" customWidth="1"/>
    <col min="6164" max="6164" width="8.42578125" style="2" customWidth="1"/>
    <col min="6165" max="6171" width="14.42578125" style="2" customWidth="1"/>
    <col min="6172" max="6172" width="71.7109375" style="2" customWidth="1"/>
    <col min="6173" max="6402" width="9.140625" style="2"/>
    <col min="6403" max="6403" width="7.42578125" style="2" customWidth="1"/>
    <col min="6404" max="6407" width="14" style="2" customWidth="1"/>
    <col min="6408" max="6409" width="8.42578125" style="2" customWidth="1"/>
    <col min="6410" max="6415" width="9.140625" style="2"/>
    <col min="6416" max="6416" width="10.140625" style="2" bestFit="1" customWidth="1"/>
    <col min="6417" max="6418" width="9.140625" style="2"/>
    <col min="6419" max="6419" width="6.7109375" style="2" customWidth="1"/>
    <col min="6420" max="6420" width="8.42578125" style="2" customWidth="1"/>
    <col min="6421" max="6427" width="14.42578125" style="2" customWidth="1"/>
    <col min="6428" max="6428" width="71.7109375" style="2" customWidth="1"/>
    <col min="6429" max="6658" width="9.140625" style="2"/>
    <col min="6659" max="6659" width="7.42578125" style="2" customWidth="1"/>
    <col min="6660" max="6663" width="14" style="2" customWidth="1"/>
    <col min="6664" max="6665" width="8.42578125" style="2" customWidth="1"/>
    <col min="6666" max="6671" width="9.140625" style="2"/>
    <col min="6672" max="6672" width="10.140625" style="2" bestFit="1" customWidth="1"/>
    <col min="6673" max="6674" width="9.140625" style="2"/>
    <col min="6675" max="6675" width="6.7109375" style="2" customWidth="1"/>
    <col min="6676" max="6676" width="8.42578125" style="2" customWidth="1"/>
    <col min="6677" max="6683" width="14.42578125" style="2" customWidth="1"/>
    <col min="6684" max="6684" width="71.7109375" style="2" customWidth="1"/>
    <col min="6685" max="6914" width="9.140625" style="2"/>
    <col min="6915" max="6915" width="7.42578125" style="2" customWidth="1"/>
    <col min="6916" max="6919" width="14" style="2" customWidth="1"/>
    <col min="6920" max="6921" width="8.42578125" style="2" customWidth="1"/>
    <col min="6922" max="6927" width="9.140625" style="2"/>
    <col min="6928" max="6928" width="10.140625" style="2" bestFit="1" customWidth="1"/>
    <col min="6929" max="6930" width="9.140625" style="2"/>
    <col min="6931" max="6931" width="6.7109375" style="2" customWidth="1"/>
    <col min="6932" max="6932" width="8.42578125" style="2" customWidth="1"/>
    <col min="6933" max="6939" width="14.42578125" style="2" customWidth="1"/>
    <col min="6940" max="6940" width="71.7109375" style="2" customWidth="1"/>
    <col min="6941" max="7170" width="9.140625" style="2"/>
    <col min="7171" max="7171" width="7.42578125" style="2" customWidth="1"/>
    <col min="7172" max="7175" width="14" style="2" customWidth="1"/>
    <col min="7176" max="7177" width="8.42578125" style="2" customWidth="1"/>
    <col min="7178" max="7183" width="9.140625" style="2"/>
    <col min="7184" max="7184" width="10.140625" style="2" bestFit="1" customWidth="1"/>
    <col min="7185" max="7186" width="9.140625" style="2"/>
    <col min="7187" max="7187" width="6.7109375" style="2" customWidth="1"/>
    <col min="7188" max="7188" width="8.42578125" style="2" customWidth="1"/>
    <col min="7189" max="7195" width="14.42578125" style="2" customWidth="1"/>
    <col min="7196" max="7196" width="71.7109375" style="2" customWidth="1"/>
    <col min="7197" max="7426" width="9.140625" style="2"/>
    <col min="7427" max="7427" width="7.42578125" style="2" customWidth="1"/>
    <col min="7428" max="7431" width="14" style="2" customWidth="1"/>
    <col min="7432" max="7433" width="8.42578125" style="2" customWidth="1"/>
    <col min="7434" max="7439" width="9.140625" style="2"/>
    <col min="7440" max="7440" width="10.140625" style="2" bestFit="1" customWidth="1"/>
    <col min="7441" max="7442" width="9.140625" style="2"/>
    <col min="7443" max="7443" width="6.7109375" style="2" customWidth="1"/>
    <col min="7444" max="7444" width="8.42578125" style="2" customWidth="1"/>
    <col min="7445" max="7451" width="14.42578125" style="2" customWidth="1"/>
    <col min="7452" max="7452" width="71.7109375" style="2" customWidth="1"/>
    <col min="7453" max="7682" width="9.140625" style="2"/>
    <col min="7683" max="7683" width="7.42578125" style="2" customWidth="1"/>
    <col min="7684" max="7687" width="14" style="2" customWidth="1"/>
    <col min="7688" max="7689" width="8.42578125" style="2" customWidth="1"/>
    <col min="7690" max="7695" width="9.140625" style="2"/>
    <col min="7696" max="7696" width="10.140625" style="2" bestFit="1" customWidth="1"/>
    <col min="7697" max="7698" width="9.140625" style="2"/>
    <col min="7699" max="7699" width="6.7109375" style="2" customWidth="1"/>
    <col min="7700" max="7700" width="8.42578125" style="2" customWidth="1"/>
    <col min="7701" max="7707" width="14.42578125" style="2" customWidth="1"/>
    <col min="7708" max="7708" width="71.7109375" style="2" customWidth="1"/>
    <col min="7709" max="7938" width="9.140625" style="2"/>
    <col min="7939" max="7939" width="7.42578125" style="2" customWidth="1"/>
    <col min="7940" max="7943" width="14" style="2" customWidth="1"/>
    <col min="7944" max="7945" width="8.42578125" style="2" customWidth="1"/>
    <col min="7946" max="7951" width="9.140625" style="2"/>
    <col min="7952" max="7952" width="10.140625" style="2" bestFit="1" customWidth="1"/>
    <col min="7953" max="7954" width="9.140625" style="2"/>
    <col min="7955" max="7955" width="6.7109375" style="2" customWidth="1"/>
    <col min="7956" max="7956" width="8.42578125" style="2" customWidth="1"/>
    <col min="7957" max="7963" width="14.42578125" style="2" customWidth="1"/>
    <col min="7964" max="7964" width="71.7109375" style="2" customWidth="1"/>
    <col min="7965" max="8194" width="9.140625" style="2"/>
    <col min="8195" max="8195" width="7.42578125" style="2" customWidth="1"/>
    <col min="8196" max="8199" width="14" style="2" customWidth="1"/>
    <col min="8200" max="8201" width="8.42578125" style="2" customWidth="1"/>
    <col min="8202" max="8207" width="9.140625" style="2"/>
    <col min="8208" max="8208" width="10.140625" style="2" bestFit="1" customWidth="1"/>
    <col min="8209" max="8210" width="9.140625" style="2"/>
    <col min="8211" max="8211" width="6.7109375" style="2" customWidth="1"/>
    <col min="8212" max="8212" width="8.42578125" style="2" customWidth="1"/>
    <col min="8213" max="8219" width="14.42578125" style="2" customWidth="1"/>
    <col min="8220" max="8220" width="71.7109375" style="2" customWidth="1"/>
    <col min="8221" max="8450" width="9.140625" style="2"/>
    <col min="8451" max="8451" width="7.42578125" style="2" customWidth="1"/>
    <col min="8452" max="8455" width="14" style="2" customWidth="1"/>
    <col min="8456" max="8457" width="8.42578125" style="2" customWidth="1"/>
    <col min="8458" max="8463" width="9.140625" style="2"/>
    <col min="8464" max="8464" width="10.140625" style="2" bestFit="1" customWidth="1"/>
    <col min="8465" max="8466" width="9.140625" style="2"/>
    <col min="8467" max="8467" width="6.7109375" style="2" customWidth="1"/>
    <col min="8468" max="8468" width="8.42578125" style="2" customWidth="1"/>
    <col min="8469" max="8475" width="14.42578125" style="2" customWidth="1"/>
    <col min="8476" max="8476" width="71.7109375" style="2" customWidth="1"/>
    <col min="8477" max="8706" width="9.140625" style="2"/>
    <col min="8707" max="8707" width="7.42578125" style="2" customWidth="1"/>
    <col min="8708" max="8711" width="14" style="2" customWidth="1"/>
    <col min="8712" max="8713" width="8.42578125" style="2" customWidth="1"/>
    <col min="8714" max="8719" width="9.140625" style="2"/>
    <col min="8720" max="8720" width="10.140625" style="2" bestFit="1" customWidth="1"/>
    <col min="8721" max="8722" width="9.140625" style="2"/>
    <col min="8723" max="8723" width="6.7109375" style="2" customWidth="1"/>
    <col min="8724" max="8724" width="8.42578125" style="2" customWidth="1"/>
    <col min="8725" max="8731" width="14.42578125" style="2" customWidth="1"/>
    <col min="8732" max="8732" width="71.7109375" style="2" customWidth="1"/>
    <col min="8733" max="8962" width="9.140625" style="2"/>
    <col min="8963" max="8963" width="7.42578125" style="2" customWidth="1"/>
    <col min="8964" max="8967" width="14" style="2" customWidth="1"/>
    <col min="8968" max="8969" width="8.42578125" style="2" customWidth="1"/>
    <col min="8970" max="8975" width="9.140625" style="2"/>
    <col min="8976" max="8976" width="10.140625" style="2" bestFit="1" customWidth="1"/>
    <col min="8977" max="8978" width="9.140625" style="2"/>
    <col min="8979" max="8979" width="6.7109375" style="2" customWidth="1"/>
    <col min="8980" max="8980" width="8.42578125" style="2" customWidth="1"/>
    <col min="8981" max="8987" width="14.42578125" style="2" customWidth="1"/>
    <col min="8988" max="8988" width="71.7109375" style="2" customWidth="1"/>
    <col min="8989" max="9218" width="9.140625" style="2"/>
    <col min="9219" max="9219" width="7.42578125" style="2" customWidth="1"/>
    <col min="9220" max="9223" width="14" style="2" customWidth="1"/>
    <col min="9224" max="9225" width="8.42578125" style="2" customWidth="1"/>
    <col min="9226" max="9231" width="9.140625" style="2"/>
    <col min="9232" max="9232" width="10.140625" style="2" bestFit="1" customWidth="1"/>
    <col min="9233" max="9234" width="9.140625" style="2"/>
    <col min="9235" max="9235" width="6.7109375" style="2" customWidth="1"/>
    <col min="9236" max="9236" width="8.42578125" style="2" customWidth="1"/>
    <col min="9237" max="9243" width="14.42578125" style="2" customWidth="1"/>
    <col min="9244" max="9244" width="71.7109375" style="2" customWidth="1"/>
    <col min="9245" max="9474" width="9.140625" style="2"/>
    <col min="9475" max="9475" width="7.42578125" style="2" customWidth="1"/>
    <col min="9476" max="9479" width="14" style="2" customWidth="1"/>
    <col min="9480" max="9481" width="8.42578125" style="2" customWidth="1"/>
    <col min="9482" max="9487" width="9.140625" style="2"/>
    <col min="9488" max="9488" width="10.140625" style="2" bestFit="1" customWidth="1"/>
    <col min="9489" max="9490" width="9.140625" style="2"/>
    <col min="9491" max="9491" width="6.7109375" style="2" customWidth="1"/>
    <col min="9492" max="9492" width="8.42578125" style="2" customWidth="1"/>
    <col min="9493" max="9499" width="14.42578125" style="2" customWidth="1"/>
    <col min="9500" max="9500" width="71.7109375" style="2" customWidth="1"/>
    <col min="9501" max="9730" width="9.140625" style="2"/>
    <col min="9731" max="9731" width="7.42578125" style="2" customWidth="1"/>
    <col min="9732" max="9735" width="14" style="2" customWidth="1"/>
    <col min="9736" max="9737" width="8.42578125" style="2" customWidth="1"/>
    <col min="9738" max="9743" width="9.140625" style="2"/>
    <col min="9744" max="9744" width="10.140625" style="2" bestFit="1" customWidth="1"/>
    <col min="9745" max="9746" width="9.140625" style="2"/>
    <col min="9747" max="9747" width="6.7109375" style="2" customWidth="1"/>
    <col min="9748" max="9748" width="8.42578125" style="2" customWidth="1"/>
    <col min="9749" max="9755" width="14.42578125" style="2" customWidth="1"/>
    <col min="9756" max="9756" width="71.7109375" style="2" customWidth="1"/>
    <col min="9757" max="9986" width="9.140625" style="2"/>
    <col min="9987" max="9987" width="7.42578125" style="2" customWidth="1"/>
    <col min="9988" max="9991" width="14" style="2" customWidth="1"/>
    <col min="9992" max="9993" width="8.42578125" style="2" customWidth="1"/>
    <col min="9994" max="9999" width="9.140625" style="2"/>
    <col min="10000" max="10000" width="10.140625" style="2" bestFit="1" customWidth="1"/>
    <col min="10001" max="10002" width="9.140625" style="2"/>
    <col min="10003" max="10003" width="6.7109375" style="2" customWidth="1"/>
    <col min="10004" max="10004" width="8.42578125" style="2" customWidth="1"/>
    <col min="10005" max="10011" width="14.42578125" style="2" customWidth="1"/>
    <col min="10012" max="10012" width="71.7109375" style="2" customWidth="1"/>
    <col min="10013" max="10242" width="9.140625" style="2"/>
    <col min="10243" max="10243" width="7.42578125" style="2" customWidth="1"/>
    <col min="10244" max="10247" width="14" style="2" customWidth="1"/>
    <col min="10248" max="10249" width="8.42578125" style="2" customWidth="1"/>
    <col min="10250" max="10255" width="9.140625" style="2"/>
    <col min="10256" max="10256" width="10.140625" style="2" bestFit="1" customWidth="1"/>
    <col min="10257" max="10258" width="9.140625" style="2"/>
    <col min="10259" max="10259" width="6.7109375" style="2" customWidth="1"/>
    <col min="10260" max="10260" width="8.42578125" style="2" customWidth="1"/>
    <col min="10261" max="10267" width="14.42578125" style="2" customWidth="1"/>
    <col min="10268" max="10268" width="71.7109375" style="2" customWidth="1"/>
    <col min="10269" max="10498" width="9.140625" style="2"/>
    <col min="10499" max="10499" width="7.42578125" style="2" customWidth="1"/>
    <col min="10500" max="10503" width="14" style="2" customWidth="1"/>
    <col min="10504" max="10505" width="8.42578125" style="2" customWidth="1"/>
    <col min="10506" max="10511" width="9.140625" style="2"/>
    <col min="10512" max="10512" width="10.140625" style="2" bestFit="1" customWidth="1"/>
    <col min="10513" max="10514" width="9.140625" style="2"/>
    <col min="10515" max="10515" width="6.7109375" style="2" customWidth="1"/>
    <col min="10516" max="10516" width="8.42578125" style="2" customWidth="1"/>
    <col min="10517" max="10523" width="14.42578125" style="2" customWidth="1"/>
    <col min="10524" max="10524" width="71.7109375" style="2" customWidth="1"/>
    <col min="10525" max="10754" width="9.140625" style="2"/>
    <col min="10755" max="10755" width="7.42578125" style="2" customWidth="1"/>
    <col min="10756" max="10759" width="14" style="2" customWidth="1"/>
    <col min="10760" max="10761" width="8.42578125" style="2" customWidth="1"/>
    <col min="10762" max="10767" width="9.140625" style="2"/>
    <col min="10768" max="10768" width="10.140625" style="2" bestFit="1" customWidth="1"/>
    <col min="10769" max="10770" width="9.140625" style="2"/>
    <col min="10771" max="10771" width="6.7109375" style="2" customWidth="1"/>
    <col min="10772" max="10772" width="8.42578125" style="2" customWidth="1"/>
    <col min="10773" max="10779" width="14.42578125" style="2" customWidth="1"/>
    <col min="10780" max="10780" width="71.7109375" style="2" customWidth="1"/>
    <col min="10781" max="11010" width="9.140625" style="2"/>
    <col min="11011" max="11011" width="7.42578125" style="2" customWidth="1"/>
    <col min="11012" max="11015" width="14" style="2" customWidth="1"/>
    <col min="11016" max="11017" width="8.42578125" style="2" customWidth="1"/>
    <col min="11018" max="11023" width="9.140625" style="2"/>
    <col min="11024" max="11024" width="10.140625" style="2" bestFit="1" customWidth="1"/>
    <col min="11025" max="11026" width="9.140625" style="2"/>
    <col min="11027" max="11027" width="6.7109375" style="2" customWidth="1"/>
    <col min="11028" max="11028" width="8.42578125" style="2" customWidth="1"/>
    <col min="11029" max="11035" width="14.42578125" style="2" customWidth="1"/>
    <col min="11036" max="11036" width="71.7109375" style="2" customWidth="1"/>
    <col min="11037" max="11266" width="9.140625" style="2"/>
    <col min="11267" max="11267" width="7.42578125" style="2" customWidth="1"/>
    <col min="11268" max="11271" width="14" style="2" customWidth="1"/>
    <col min="11272" max="11273" width="8.42578125" style="2" customWidth="1"/>
    <col min="11274" max="11279" width="9.140625" style="2"/>
    <col min="11280" max="11280" width="10.140625" style="2" bestFit="1" customWidth="1"/>
    <col min="11281" max="11282" width="9.140625" style="2"/>
    <col min="11283" max="11283" width="6.7109375" style="2" customWidth="1"/>
    <col min="11284" max="11284" width="8.42578125" style="2" customWidth="1"/>
    <col min="11285" max="11291" width="14.42578125" style="2" customWidth="1"/>
    <col min="11292" max="11292" width="71.7109375" style="2" customWidth="1"/>
    <col min="11293" max="11522" width="9.140625" style="2"/>
    <col min="11523" max="11523" width="7.42578125" style="2" customWidth="1"/>
    <col min="11524" max="11527" width="14" style="2" customWidth="1"/>
    <col min="11528" max="11529" width="8.42578125" style="2" customWidth="1"/>
    <col min="11530" max="11535" width="9.140625" style="2"/>
    <col min="11536" max="11536" width="10.140625" style="2" bestFit="1" customWidth="1"/>
    <col min="11537" max="11538" width="9.140625" style="2"/>
    <col min="11539" max="11539" width="6.7109375" style="2" customWidth="1"/>
    <col min="11540" max="11540" width="8.42578125" style="2" customWidth="1"/>
    <col min="11541" max="11547" width="14.42578125" style="2" customWidth="1"/>
    <col min="11548" max="11548" width="71.7109375" style="2" customWidth="1"/>
    <col min="11549" max="11778" width="9.140625" style="2"/>
    <col min="11779" max="11779" width="7.42578125" style="2" customWidth="1"/>
    <col min="11780" max="11783" width="14" style="2" customWidth="1"/>
    <col min="11784" max="11785" width="8.42578125" style="2" customWidth="1"/>
    <col min="11786" max="11791" width="9.140625" style="2"/>
    <col min="11792" max="11792" width="10.140625" style="2" bestFit="1" customWidth="1"/>
    <col min="11793" max="11794" width="9.140625" style="2"/>
    <col min="11795" max="11795" width="6.7109375" style="2" customWidth="1"/>
    <col min="11796" max="11796" width="8.42578125" style="2" customWidth="1"/>
    <col min="11797" max="11803" width="14.42578125" style="2" customWidth="1"/>
    <col min="11804" max="11804" width="71.7109375" style="2" customWidth="1"/>
    <col min="11805" max="12034" width="9.140625" style="2"/>
    <col min="12035" max="12035" width="7.42578125" style="2" customWidth="1"/>
    <col min="12036" max="12039" width="14" style="2" customWidth="1"/>
    <col min="12040" max="12041" width="8.42578125" style="2" customWidth="1"/>
    <col min="12042" max="12047" width="9.140625" style="2"/>
    <col min="12048" max="12048" width="10.140625" style="2" bestFit="1" customWidth="1"/>
    <col min="12049" max="12050" width="9.140625" style="2"/>
    <col min="12051" max="12051" width="6.7109375" style="2" customWidth="1"/>
    <col min="12052" max="12052" width="8.42578125" style="2" customWidth="1"/>
    <col min="12053" max="12059" width="14.42578125" style="2" customWidth="1"/>
    <col min="12060" max="12060" width="71.7109375" style="2" customWidth="1"/>
    <col min="12061" max="12290" width="9.140625" style="2"/>
    <col min="12291" max="12291" width="7.42578125" style="2" customWidth="1"/>
    <col min="12292" max="12295" width="14" style="2" customWidth="1"/>
    <col min="12296" max="12297" width="8.42578125" style="2" customWidth="1"/>
    <col min="12298" max="12303" width="9.140625" style="2"/>
    <col min="12304" max="12304" width="10.140625" style="2" bestFit="1" customWidth="1"/>
    <col min="12305" max="12306" width="9.140625" style="2"/>
    <col min="12307" max="12307" width="6.7109375" style="2" customWidth="1"/>
    <col min="12308" max="12308" width="8.42578125" style="2" customWidth="1"/>
    <col min="12309" max="12315" width="14.42578125" style="2" customWidth="1"/>
    <col min="12316" max="12316" width="71.7109375" style="2" customWidth="1"/>
    <col min="12317" max="12546" width="9.140625" style="2"/>
    <col min="12547" max="12547" width="7.42578125" style="2" customWidth="1"/>
    <col min="12548" max="12551" width="14" style="2" customWidth="1"/>
    <col min="12552" max="12553" width="8.42578125" style="2" customWidth="1"/>
    <col min="12554" max="12559" width="9.140625" style="2"/>
    <col min="12560" max="12560" width="10.140625" style="2" bestFit="1" customWidth="1"/>
    <col min="12561" max="12562" width="9.140625" style="2"/>
    <col min="12563" max="12563" width="6.7109375" style="2" customWidth="1"/>
    <col min="12564" max="12564" width="8.42578125" style="2" customWidth="1"/>
    <col min="12565" max="12571" width="14.42578125" style="2" customWidth="1"/>
    <col min="12572" max="12572" width="71.7109375" style="2" customWidth="1"/>
    <col min="12573" max="12802" width="9.140625" style="2"/>
    <col min="12803" max="12803" width="7.42578125" style="2" customWidth="1"/>
    <col min="12804" max="12807" width="14" style="2" customWidth="1"/>
    <col min="12808" max="12809" width="8.42578125" style="2" customWidth="1"/>
    <col min="12810" max="12815" width="9.140625" style="2"/>
    <col min="12816" max="12816" width="10.140625" style="2" bestFit="1" customWidth="1"/>
    <col min="12817" max="12818" width="9.140625" style="2"/>
    <col min="12819" max="12819" width="6.7109375" style="2" customWidth="1"/>
    <col min="12820" max="12820" width="8.42578125" style="2" customWidth="1"/>
    <col min="12821" max="12827" width="14.42578125" style="2" customWidth="1"/>
    <col min="12828" max="12828" width="71.7109375" style="2" customWidth="1"/>
    <col min="12829" max="13058" width="9.140625" style="2"/>
    <col min="13059" max="13059" width="7.42578125" style="2" customWidth="1"/>
    <col min="13060" max="13063" width="14" style="2" customWidth="1"/>
    <col min="13064" max="13065" width="8.42578125" style="2" customWidth="1"/>
    <col min="13066" max="13071" width="9.140625" style="2"/>
    <col min="13072" max="13072" width="10.140625" style="2" bestFit="1" customWidth="1"/>
    <col min="13073" max="13074" width="9.140625" style="2"/>
    <col min="13075" max="13075" width="6.7109375" style="2" customWidth="1"/>
    <col min="13076" max="13076" width="8.42578125" style="2" customWidth="1"/>
    <col min="13077" max="13083" width="14.42578125" style="2" customWidth="1"/>
    <col min="13084" max="13084" width="71.7109375" style="2" customWidth="1"/>
    <col min="13085" max="13314" width="9.140625" style="2"/>
    <col min="13315" max="13315" width="7.42578125" style="2" customWidth="1"/>
    <col min="13316" max="13319" width="14" style="2" customWidth="1"/>
    <col min="13320" max="13321" width="8.42578125" style="2" customWidth="1"/>
    <col min="13322" max="13327" width="9.140625" style="2"/>
    <col min="13328" max="13328" width="10.140625" style="2" bestFit="1" customWidth="1"/>
    <col min="13329" max="13330" width="9.140625" style="2"/>
    <col min="13331" max="13331" width="6.7109375" style="2" customWidth="1"/>
    <col min="13332" max="13332" width="8.42578125" style="2" customWidth="1"/>
    <col min="13333" max="13339" width="14.42578125" style="2" customWidth="1"/>
    <col min="13340" max="13340" width="71.7109375" style="2" customWidth="1"/>
    <col min="13341" max="13570" width="9.140625" style="2"/>
    <col min="13571" max="13571" width="7.42578125" style="2" customWidth="1"/>
    <col min="13572" max="13575" width="14" style="2" customWidth="1"/>
    <col min="13576" max="13577" width="8.42578125" style="2" customWidth="1"/>
    <col min="13578" max="13583" width="9.140625" style="2"/>
    <col min="13584" max="13584" width="10.140625" style="2" bestFit="1" customWidth="1"/>
    <col min="13585" max="13586" width="9.140625" style="2"/>
    <col min="13587" max="13587" width="6.7109375" style="2" customWidth="1"/>
    <col min="13588" max="13588" width="8.42578125" style="2" customWidth="1"/>
    <col min="13589" max="13595" width="14.42578125" style="2" customWidth="1"/>
    <col min="13596" max="13596" width="71.7109375" style="2" customWidth="1"/>
    <col min="13597" max="13826" width="9.140625" style="2"/>
    <col min="13827" max="13827" width="7.42578125" style="2" customWidth="1"/>
    <col min="13828" max="13831" width="14" style="2" customWidth="1"/>
    <col min="13832" max="13833" width="8.42578125" style="2" customWidth="1"/>
    <col min="13834" max="13839" width="9.140625" style="2"/>
    <col min="13840" max="13840" width="10.140625" style="2" bestFit="1" customWidth="1"/>
    <col min="13841" max="13842" width="9.140625" style="2"/>
    <col min="13843" max="13843" width="6.7109375" style="2" customWidth="1"/>
    <col min="13844" max="13844" width="8.42578125" style="2" customWidth="1"/>
    <col min="13845" max="13851" width="14.42578125" style="2" customWidth="1"/>
    <col min="13852" max="13852" width="71.7109375" style="2" customWidth="1"/>
    <col min="13853" max="14082" width="9.140625" style="2"/>
    <col min="14083" max="14083" width="7.42578125" style="2" customWidth="1"/>
    <col min="14084" max="14087" width="14" style="2" customWidth="1"/>
    <col min="14088" max="14089" width="8.42578125" style="2" customWidth="1"/>
    <col min="14090" max="14095" width="9.140625" style="2"/>
    <col min="14096" max="14096" width="10.140625" style="2" bestFit="1" customWidth="1"/>
    <col min="14097" max="14098" width="9.140625" style="2"/>
    <col min="14099" max="14099" width="6.7109375" style="2" customWidth="1"/>
    <col min="14100" max="14100" width="8.42578125" style="2" customWidth="1"/>
    <col min="14101" max="14107" width="14.42578125" style="2" customWidth="1"/>
    <col min="14108" max="14108" width="71.7109375" style="2" customWidth="1"/>
    <col min="14109" max="14338" width="9.140625" style="2"/>
    <col min="14339" max="14339" width="7.42578125" style="2" customWidth="1"/>
    <col min="14340" max="14343" width="14" style="2" customWidth="1"/>
    <col min="14344" max="14345" width="8.42578125" style="2" customWidth="1"/>
    <col min="14346" max="14351" width="9.140625" style="2"/>
    <col min="14352" max="14352" width="10.140625" style="2" bestFit="1" customWidth="1"/>
    <col min="14353" max="14354" width="9.140625" style="2"/>
    <col min="14355" max="14355" width="6.7109375" style="2" customWidth="1"/>
    <col min="14356" max="14356" width="8.42578125" style="2" customWidth="1"/>
    <col min="14357" max="14363" width="14.42578125" style="2" customWidth="1"/>
    <col min="14364" max="14364" width="71.7109375" style="2" customWidth="1"/>
    <col min="14365" max="14594" width="9.140625" style="2"/>
    <col min="14595" max="14595" width="7.42578125" style="2" customWidth="1"/>
    <col min="14596" max="14599" width="14" style="2" customWidth="1"/>
    <col min="14600" max="14601" width="8.42578125" style="2" customWidth="1"/>
    <col min="14602" max="14607" width="9.140625" style="2"/>
    <col min="14608" max="14608" width="10.140625" style="2" bestFit="1" customWidth="1"/>
    <col min="14609" max="14610" width="9.140625" style="2"/>
    <col min="14611" max="14611" width="6.7109375" style="2" customWidth="1"/>
    <col min="14612" max="14612" width="8.42578125" style="2" customWidth="1"/>
    <col min="14613" max="14619" width="14.42578125" style="2" customWidth="1"/>
    <col min="14620" max="14620" width="71.7109375" style="2" customWidth="1"/>
    <col min="14621" max="14850" width="9.140625" style="2"/>
    <col min="14851" max="14851" width="7.42578125" style="2" customWidth="1"/>
    <col min="14852" max="14855" width="14" style="2" customWidth="1"/>
    <col min="14856" max="14857" width="8.42578125" style="2" customWidth="1"/>
    <col min="14858" max="14863" width="9.140625" style="2"/>
    <col min="14864" max="14864" width="10.140625" style="2" bestFit="1" customWidth="1"/>
    <col min="14865" max="14866" width="9.140625" style="2"/>
    <col min="14867" max="14867" width="6.7109375" style="2" customWidth="1"/>
    <col min="14868" max="14868" width="8.42578125" style="2" customWidth="1"/>
    <col min="14869" max="14875" width="14.42578125" style="2" customWidth="1"/>
    <col min="14876" max="14876" width="71.7109375" style="2" customWidth="1"/>
    <col min="14877" max="15106" width="9.140625" style="2"/>
    <col min="15107" max="15107" width="7.42578125" style="2" customWidth="1"/>
    <col min="15108" max="15111" width="14" style="2" customWidth="1"/>
    <col min="15112" max="15113" width="8.42578125" style="2" customWidth="1"/>
    <col min="15114" max="15119" width="9.140625" style="2"/>
    <col min="15120" max="15120" width="10.140625" style="2" bestFit="1" customWidth="1"/>
    <col min="15121" max="15122" width="9.140625" style="2"/>
    <col min="15123" max="15123" width="6.7109375" style="2" customWidth="1"/>
    <col min="15124" max="15124" width="8.42578125" style="2" customWidth="1"/>
    <col min="15125" max="15131" width="14.42578125" style="2" customWidth="1"/>
    <col min="15132" max="15132" width="71.7109375" style="2" customWidth="1"/>
    <col min="15133" max="15362" width="9.140625" style="2"/>
    <col min="15363" max="15363" width="7.42578125" style="2" customWidth="1"/>
    <col min="15364" max="15367" width="14" style="2" customWidth="1"/>
    <col min="15368" max="15369" width="8.42578125" style="2" customWidth="1"/>
    <col min="15370" max="15375" width="9.140625" style="2"/>
    <col min="15376" max="15376" width="10.140625" style="2" bestFit="1" customWidth="1"/>
    <col min="15377" max="15378" width="9.140625" style="2"/>
    <col min="15379" max="15379" width="6.7109375" style="2" customWidth="1"/>
    <col min="15380" max="15380" width="8.42578125" style="2" customWidth="1"/>
    <col min="15381" max="15387" width="14.42578125" style="2" customWidth="1"/>
    <col min="15388" max="15388" width="71.7109375" style="2" customWidth="1"/>
    <col min="15389" max="15618" width="9.140625" style="2"/>
    <col min="15619" max="15619" width="7.42578125" style="2" customWidth="1"/>
    <col min="15620" max="15623" width="14" style="2" customWidth="1"/>
    <col min="15624" max="15625" width="8.42578125" style="2" customWidth="1"/>
    <col min="15626" max="15631" width="9.140625" style="2"/>
    <col min="15632" max="15632" width="10.140625" style="2" bestFit="1" customWidth="1"/>
    <col min="15633" max="15634" width="9.140625" style="2"/>
    <col min="15635" max="15635" width="6.7109375" style="2" customWidth="1"/>
    <col min="15636" max="15636" width="8.42578125" style="2" customWidth="1"/>
    <col min="15637" max="15643" width="14.42578125" style="2" customWidth="1"/>
    <col min="15644" max="15644" width="71.7109375" style="2" customWidth="1"/>
    <col min="15645" max="15874" width="9.140625" style="2"/>
    <col min="15875" max="15875" width="7.42578125" style="2" customWidth="1"/>
    <col min="15876" max="15879" width="14" style="2" customWidth="1"/>
    <col min="15880" max="15881" width="8.42578125" style="2" customWidth="1"/>
    <col min="15882" max="15887" width="9.140625" style="2"/>
    <col min="15888" max="15888" width="10.140625" style="2" bestFit="1" customWidth="1"/>
    <col min="15889" max="15890" width="9.140625" style="2"/>
    <col min="15891" max="15891" width="6.7109375" style="2" customWidth="1"/>
    <col min="15892" max="15892" width="8.42578125" style="2" customWidth="1"/>
    <col min="15893" max="15899" width="14.42578125" style="2" customWidth="1"/>
    <col min="15900" max="15900" width="71.7109375" style="2" customWidth="1"/>
    <col min="15901" max="16130" width="9.140625" style="2"/>
    <col min="16131" max="16131" width="7.42578125" style="2" customWidth="1"/>
    <col min="16132" max="16135" width="14" style="2" customWidth="1"/>
    <col min="16136" max="16137" width="8.42578125" style="2" customWidth="1"/>
    <col min="16138" max="16143" width="9.140625" style="2"/>
    <col min="16144" max="16144" width="10.140625" style="2" bestFit="1" customWidth="1"/>
    <col min="16145" max="16146" width="9.140625" style="2"/>
    <col min="16147" max="16147" width="6.7109375" style="2" customWidth="1"/>
    <col min="16148" max="16148" width="8.42578125" style="2" customWidth="1"/>
    <col min="16149" max="16155" width="14.42578125" style="2" customWidth="1"/>
    <col min="16156" max="16156" width="71.7109375" style="2" customWidth="1"/>
    <col min="16157" max="16384" width="9.140625" style="2"/>
  </cols>
  <sheetData>
    <row r="1" spans="1:28" s="12" customFormat="1" ht="15.75" x14ac:dyDescent="0.25">
      <c r="A1" s="408" t="s">
        <v>140</v>
      </c>
      <c r="B1" s="408"/>
      <c r="C1" s="408"/>
      <c r="D1" s="408"/>
      <c r="E1" s="408"/>
      <c r="F1" s="408"/>
      <c r="G1" s="408"/>
      <c r="H1" s="408"/>
      <c r="I1" s="408"/>
      <c r="J1" s="408"/>
      <c r="K1" s="408"/>
      <c r="L1" s="408"/>
      <c r="M1" s="408"/>
      <c r="N1" s="408"/>
      <c r="O1" s="408"/>
      <c r="P1" s="408"/>
      <c r="Q1" s="408"/>
      <c r="R1" s="408"/>
      <c r="S1" s="408"/>
    </row>
    <row r="2" spans="1:28" s="12" customFormat="1" ht="49.5" customHeight="1" x14ac:dyDescent="0.25">
      <c r="A2" s="409" t="s">
        <v>136</v>
      </c>
      <c r="B2" s="409"/>
      <c r="C2" s="409"/>
      <c r="D2" s="409"/>
      <c r="E2" s="409"/>
      <c r="F2" s="409"/>
      <c r="G2" s="409"/>
      <c r="H2" s="409"/>
      <c r="I2" s="409"/>
      <c r="J2" s="409"/>
      <c r="K2" s="409"/>
      <c r="L2" s="409"/>
      <c r="M2" s="409"/>
      <c r="N2" s="409"/>
      <c r="O2" s="409"/>
      <c r="P2" s="409"/>
      <c r="Q2" s="409"/>
      <c r="R2" s="409"/>
      <c r="S2" s="409"/>
      <c r="T2" s="11"/>
    </row>
    <row r="3" spans="1:28" ht="15.75" thickBot="1" x14ac:dyDescent="0.3"/>
    <row r="4" spans="1:28" s="1" customFormat="1" ht="27" customHeight="1" thickTop="1" x14ac:dyDescent="0.25">
      <c r="A4" s="399" t="s">
        <v>58</v>
      </c>
      <c r="B4" s="402" t="s">
        <v>59</v>
      </c>
      <c r="C4" s="392" t="s">
        <v>8</v>
      </c>
      <c r="D4" s="392" t="s">
        <v>60</v>
      </c>
      <c r="E4" s="392" t="s">
        <v>141</v>
      </c>
      <c r="F4" s="392" t="s">
        <v>62</v>
      </c>
      <c r="G4" s="392" t="s">
        <v>63</v>
      </c>
      <c r="H4" s="392" t="s">
        <v>64</v>
      </c>
      <c r="I4" s="392"/>
      <c r="J4" s="392"/>
      <c r="K4" s="392"/>
      <c r="L4" s="392"/>
      <c r="M4" s="392"/>
      <c r="N4" s="392" t="s">
        <v>122</v>
      </c>
      <c r="O4" s="392" t="s">
        <v>65</v>
      </c>
      <c r="P4" s="392" t="s">
        <v>66</v>
      </c>
      <c r="Q4" s="392" t="s">
        <v>67</v>
      </c>
      <c r="R4" s="392" t="s">
        <v>68</v>
      </c>
      <c r="S4" s="393" t="s">
        <v>126</v>
      </c>
      <c r="T4" s="407"/>
      <c r="U4" s="407"/>
      <c r="V4" s="406"/>
    </row>
    <row r="5" spans="1:28" s="1" customFormat="1" ht="18" customHeight="1" x14ac:dyDescent="0.25">
      <c r="A5" s="400"/>
      <c r="B5" s="403"/>
      <c r="C5" s="393"/>
      <c r="D5" s="393"/>
      <c r="E5" s="393"/>
      <c r="F5" s="393"/>
      <c r="G5" s="393"/>
      <c r="H5" s="393" t="s">
        <v>69</v>
      </c>
      <c r="I5" s="393" t="s">
        <v>70</v>
      </c>
      <c r="J5" s="393"/>
      <c r="K5" s="393" t="s">
        <v>71</v>
      </c>
      <c r="L5" s="396" t="s">
        <v>70</v>
      </c>
      <c r="M5" s="396"/>
      <c r="N5" s="393"/>
      <c r="O5" s="393"/>
      <c r="P5" s="393"/>
      <c r="Q5" s="393"/>
      <c r="R5" s="393"/>
      <c r="S5" s="393"/>
      <c r="T5" s="407"/>
      <c r="U5" s="407"/>
      <c r="V5" s="406"/>
    </row>
    <row r="6" spans="1:28" s="1" customFormat="1" ht="105.75" customHeight="1" x14ac:dyDescent="0.25">
      <c r="A6" s="401"/>
      <c r="B6" s="404"/>
      <c r="C6" s="393"/>
      <c r="D6" s="393"/>
      <c r="E6" s="393"/>
      <c r="F6" s="393"/>
      <c r="G6" s="393"/>
      <c r="H6" s="393"/>
      <c r="I6" s="191" t="s">
        <v>71</v>
      </c>
      <c r="J6" s="191" t="s">
        <v>72</v>
      </c>
      <c r="K6" s="393"/>
      <c r="L6" s="192" t="s">
        <v>123</v>
      </c>
      <c r="M6" s="192" t="s">
        <v>124</v>
      </c>
      <c r="N6" s="393"/>
      <c r="O6" s="393"/>
      <c r="P6" s="393"/>
      <c r="Q6" s="393"/>
      <c r="R6" s="393"/>
      <c r="S6" s="393"/>
      <c r="T6" s="407"/>
      <c r="U6" s="407"/>
      <c r="V6" s="406"/>
    </row>
    <row r="7" spans="1:28" ht="15" customHeight="1" x14ac:dyDescent="0.25">
      <c r="A7" s="206">
        <v>1</v>
      </c>
      <c r="B7" s="193">
        <f>+A7+1</f>
        <v>2</v>
      </c>
      <c r="C7" s="193">
        <f t="shared" ref="C7:S7" si="0">+B7+1</f>
        <v>3</v>
      </c>
      <c r="D7" s="193">
        <f t="shared" si="0"/>
        <v>4</v>
      </c>
      <c r="E7" s="193">
        <f>+D7+1</f>
        <v>5</v>
      </c>
      <c r="F7" s="193">
        <f t="shared" si="0"/>
        <v>6</v>
      </c>
      <c r="G7" s="193">
        <f t="shared" si="0"/>
        <v>7</v>
      </c>
      <c r="H7" s="193">
        <f t="shared" si="0"/>
        <v>8</v>
      </c>
      <c r="I7" s="193">
        <f t="shared" si="0"/>
        <v>9</v>
      </c>
      <c r="J7" s="193">
        <f t="shared" si="0"/>
        <v>10</v>
      </c>
      <c r="K7" s="193">
        <f t="shared" si="0"/>
        <v>11</v>
      </c>
      <c r="L7" s="193">
        <f t="shared" si="0"/>
        <v>12</v>
      </c>
      <c r="M7" s="193">
        <f t="shared" si="0"/>
        <v>13</v>
      </c>
      <c r="N7" s="193">
        <f t="shared" si="0"/>
        <v>14</v>
      </c>
      <c r="O7" s="193">
        <f t="shared" si="0"/>
        <v>15</v>
      </c>
      <c r="P7" s="193">
        <f t="shared" si="0"/>
        <v>16</v>
      </c>
      <c r="Q7" s="193">
        <f t="shared" si="0"/>
        <v>17</v>
      </c>
      <c r="R7" s="193">
        <f t="shared" si="0"/>
        <v>18</v>
      </c>
      <c r="S7" s="193">
        <f t="shared" si="0"/>
        <v>19</v>
      </c>
      <c r="T7" s="207"/>
      <c r="U7" s="193"/>
      <c r="V7" s="193"/>
    </row>
    <row r="8" spans="1:28" s="211" customFormat="1" ht="45" customHeight="1" x14ac:dyDescent="0.25">
      <c r="A8" s="194">
        <v>1</v>
      </c>
      <c r="B8" s="8" t="str">
        <f>+'Ng Vũ Mạnh(5-23+86)'!F9</f>
        <v>Nguyễn Vũ Mạnh - Nguyễn Thị Luân</v>
      </c>
      <c r="C8" s="34" t="str">
        <f>+'Ng Vũ Mạnh(5-23+86)'!C12</f>
        <v>001090006511</v>
      </c>
      <c r="D8" s="205" t="str">
        <f>+'Ng Vũ Mạnh(5-23+86)'!C10</f>
        <v>Thôn Thanh Trì - Xã Phú Nghĩa - TP Hà Nội</v>
      </c>
      <c r="E8" s="34"/>
      <c r="F8" s="188" t="str">
        <f>+'Ng Vũ Mạnh(5-23+86)'!F19</f>
        <v>05</v>
      </c>
      <c r="G8" s="188" t="str">
        <f>+'Ng Vũ Mạnh(5-23+86)'!C19</f>
        <v>23+86</v>
      </c>
      <c r="H8" s="190">
        <f>+'Ng Vũ Mạnh(5-23+86)'!C20</f>
        <v>491.8</v>
      </c>
      <c r="I8" s="190">
        <f>+'Ng Vũ Mạnh(5-23+86)'!C22</f>
        <v>70.5</v>
      </c>
      <c r="J8" s="190">
        <f>+H8-I8</f>
        <v>421.3</v>
      </c>
      <c r="K8" s="190">
        <f>I8</f>
        <v>70.5</v>
      </c>
      <c r="L8" s="190"/>
      <c r="M8" s="190">
        <f t="shared" ref="M8:M27" si="1">I8</f>
        <v>70.5</v>
      </c>
      <c r="N8" s="190" t="str">
        <f>+'Ng Vũ Mạnh(5-23+86)'!H26</f>
        <v>01</v>
      </c>
      <c r="O8" s="188" t="str">
        <f>+'Ng Vũ Mạnh(5-23+86)'!H27</f>
        <v>06</v>
      </c>
      <c r="P8" s="189">
        <f>+'Ng Vũ Mạnh(5-23+86)'!H34</f>
        <v>0</v>
      </c>
      <c r="Q8" s="189">
        <f>+'Ng Vũ Mạnh(5-23+86)'!H49</f>
        <v>0</v>
      </c>
      <c r="R8" s="189">
        <f>+'Ng Vũ Mạnh(5-23+86)'!H61</f>
        <v>0</v>
      </c>
      <c r="S8" s="189">
        <f>+SUM(P8:R8)</f>
        <v>0</v>
      </c>
      <c r="T8" s="208"/>
      <c r="U8" s="208"/>
      <c r="V8" s="209"/>
      <c r="W8" s="195"/>
      <c r="X8" s="9"/>
      <c r="Y8" s="16"/>
      <c r="Z8" s="210" t="e">
        <f>#REF!</f>
        <v>#REF!</v>
      </c>
      <c r="AA8" s="209" t="s">
        <v>79</v>
      </c>
      <c r="AB8" s="211" t="e">
        <f>#REF!</f>
        <v>#REF!</v>
      </c>
    </row>
    <row r="9" spans="1:28" s="211" customFormat="1" ht="45" customHeight="1" x14ac:dyDescent="0.25">
      <c r="A9" s="194">
        <f>+A8+1</f>
        <v>2</v>
      </c>
      <c r="B9" s="8" t="str">
        <f>+'Trần Cao Giới(5-43)'!F9</f>
        <v>Trần Cao Giới</v>
      </c>
      <c r="C9" s="34" t="str">
        <f>+'Trần Cao Giới(5-43)'!C12</f>
        <v>001062025102</v>
      </c>
      <c r="D9" s="205" t="str">
        <f>+'Trần Cao Giới(5-43)'!C10</f>
        <v>Thôn Phố Gốt- Xã Phú Nghĩa - TP Hà Nội</v>
      </c>
      <c r="E9" s="34"/>
      <c r="F9" s="188" t="str">
        <f>+'Trần Cao Giới(5-43)'!F19</f>
        <v>05</v>
      </c>
      <c r="G9" s="188">
        <f>+'Trần Cao Giới(5-43)'!C19</f>
        <v>43</v>
      </c>
      <c r="H9" s="190">
        <f>+'Trần Cao Giới(5-43)'!C20</f>
        <v>55.5</v>
      </c>
      <c r="I9" s="190">
        <f>+'Trần Cao Giới(5-43)'!C22</f>
        <v>46.1</v>
      </c>
      <c r="J9" s="190">
        <f>+H9-I9</f>
        <v>9.3999999999999986</v>
      </c>
      <c r="K9" s="190">
        <f t="shared" ref="K9:K27" si="2">I9</f>
        <v>46.1</v>
      </c>
      <c r="L9" s="190"/>
      <c r="M9" s="190">
        <f t="shared" si="1"/>
        <v>46.1</v>
      </c>
      <c r="N9" s="190" t="str">
        <f>+'Trần Cao Giới(5-43)'!H26</f>
        <v>01</v>
      </c>
      <c r="O9" s="188" t="str">
        <f>+'Trần Cao Giới(5-43)'!H27</f>
        <v>04</v>
      </c>
      <c r="P9" s="189">
        <f>+'Trần Cao Giới(5-43)'!H34</f>
        <v>0</v>
      </c>
      <c r="Q9" s="188">
        <f>+'Trần Cao Giới(5-43)'!H49</f>
        <v>0</v>
      </c>
      <c r="R9" s="188">
        <f>+'Trần Cao Giới(5-43)'!H66</f>
        <v>0</v>
      </c>
      <c r="S9" s="189">
        <f t="shared" ref="S9:S28" si="3">+SUM(P9:R9)</f>
        <v>0</v>
      </c>
      <c r="T9" s="212"/>
      <c r="U9" s="212"/>
      <c r="W9" s="196"/>
      <c r="X9" s="9"/>
      <c r="Y9" s="16">
        <f>SUM(R9:X9)</f>
        <v>0</v>
      </c>
      <c r="Z9" s="213" t="e">
        <f>#REF!</f>
        <v>#REF!</v>
      </c>
      <c r="AA9" s="209" t="s">
        <v>79</v>
      </c>
      <c r="AB9" s="211" t="e">
        <f>#REF!</f>
        <v>#REF!</v>
      </c>
    </row>
    <row r="10" spans="1:28" s="211" customFormat="1" ht="45" customHeight="1" x14ac:dyDescent="0.25">
      <c r="A10" s="194">
        <f t="shared" ref="A10:A27" si="4">+A9+1</f>
        <v>3</v>
      </c>
      <c r="B10" s="8" t="str">
        <f>+'Ng Thị Hòa(5-14)'!F9</f>
        <v xml:space="preserve">Đại diện hộ bà Nguyễn Thị Hòa </v>
      </c>
      <c r="C10" s="34" t="str">
        <f>+'Ng Thị Hòa(5-14)'!C12</f>
        <v>001166020878</v>
      </c>
      <c r="D10" s="205" t="str">
        <f>+'Ng Thị Hòa(5-14)'!C10</f>
        <v>Thôn Phố Gốt- xã Phú Nghĩa - TP Hà Nội</v>
      </c>
      <c r="E10" s="34"/>
      <c r="F10" s="188" t="str">
        <f>+'Ng Thị Hòa(5-14)'!F19</f>
        <v>05</v>
      </c>
      <c r="G10" s="188">
        <f>+'Ng Thị Hòa(5-14)'!C19</f>
        <v>14</v>
      </c>
      <c r="H10" s="190">
        <f>+'Ng Thị Hòa(5-14)'!C20</f>
        <v>265.7</v>
      </c>
      <c r="I10" s="190">
        <f>+'Ng Thị Hòa(5-14)'!C22</f>
        <v>37.299999999999997</v>
      </c>
      <c r="J10" s="190">
        <f t="shared" ref="J10:J28" si="5">+H10-I10</f>
        <v>228.39999999999998</v>
      </c>
      <c r="K10" s="190">
        <f t="shared" si="2"/>
        <v>37.299999999999997</v>
      </c>
      <c r="L10" s="190"/>
      <c r="M10" s="190">
        <f t="shared" si="1"/>
        <v>37.299999999999997</v>
      </c>
      <c r="N10" s="190" t="str">
        <f>+'Ng Thị Hòa(5-14)'!H26</f>
        <v>01</v>
      </c>
      <c r="O10" s="188" t="str">
        <f>+'Ng Thị Hòa(5-14)'!H27</f>
        <v>02</v>
      </c>
      <c r="P10" s="189">
        <f>+'Ng Thị Hòa(5-14)'!H34</f>
        <v>0</v>
      </c>
      <c r="Q10" s="189">
        <f>+'Ng Thị Hòa(5-14)'!H49</f>
        <v>0</v>
      </c>
      <c r="R10" s="189">
        <f>+'Ng Thị Hòa(5-14)'!H59</f>
        <v>0</v>
      </c>
      <c r="S10" s="189">
        <f t="shared" si="3"/>
        <v>0</v>
      </c>
      <c r="T10" s="208"/>
      <c r="U10" s="208"/>
      <c r="V10" s="209"/>
      <c r="W10" s="195"/>
      <c r="X10" s="9"/>
      <c r="Y10" s="16"/>
      <c r="Z10" s="213" t="e">
        <f>#REF!</f>
        <v>#REF!</v>
      </c>
      <c r="AA10" s="209" t="s">
        <v>79</v>
      </c>
      <c r="AB10" s="211" t="e">
        <f>#REF!</f>
        <v>#REF!</v>
      </c>
    </row>
    <row r="11" spans="1:28" s="211" customFormat="1" ht="45" customHeight="1" x14ac:dyDescent="0.25">
      <c r="A11" s="194">
        <f t="shared" si="4"/>
        <v>4</v>
      </c>
      <c r="B11" s="8" t="str">
        <f>+'Ng Thị Hòa(5-68)'!F9</f>
        <v>Đại diện hộ bà Nguyễn Thị Hòa</v>
      </c>
      <c r="C11" s="34" t="str">
        <f>+'Ng Thị Hòa(5-68)'!C12</f>
        <v>001166020878</v>
      </c>
      <c r="D11" s="205" t="str">
        <f>+'Ng Thị Hòa(5-68)'!C10</f>
        <v>Thôn Phố Gốt- xã Phú Nghĩa - TP Hà Nội</v>
      </c>
      <c r="E11" s="34"/>
      <c r="F11" s="188" t="str">
        <f>+'Ng Thị Hòa(5-68)'!F19</f>
        <v>05</v>
      </c>
      <c r="G11" s="188">
        <f>+'Ng Thị Hòa(5-68)'!C19</f>
        <v>68</v>
      </c>
      <c r="H11" s="190">
        <f>+'Ng Thị Hòa(5-68)'!C20</f>
        <v>33.5</v>
      </c>
      <c r="I11" s="190">
        <f>+'Ng Thị Hòa(5-68)'!C22</f>
        <v>33.5</v>
      </c>
      <c r="J11" s="190">
        <f t="shared" si="5"/>
        <v>0</v>
      </c>
      <c r="K11" s="190">
        <f t="shared" si="2"/>
        <v>33.5</v>
      </c>
      <c r="L11" s="190"/>
      <c r="M11" s="190">
        <f t="shared" si="1"/>
        <v>33.5</v>
      </c>
      <c r="N11" s="190" t="str">
        <f>+'Ng Thị Hòa(5-68)'!H26</f>
        <v>01</v>
      </c>
      <c r="O11" s="188" t="str">
        <f>+'Ng Thị Hòa(5-68)'!H27</f>
        <v>02</v>
      </c>
      <c r="P11" s="189">
        <f>+'Ng Thị Hòa(5-68)'!H34</f>
        <v>0</v>
      </c>
      <c r="Q11" s="189">
        <f>+'Ng Thị Hòa(5-68)'!H49</f>
        <v>0</v>
      </c>
      <c r="R11" s="189">
        <f>+'Ng Thị Hòa(5-68)'!H55</f>
        <v>0</v>
      </c>
      <c r="S11" s="189">
        <f t="shared" si="3"/>
        <v>0</v>
      </c>
      <c r="T11" s="208"/>
      <c r="U11" s="208"/>
      <c r="W11" s="196"/>
      <c r="X11" s="9"/>
      <c r="Y11" s="16"/>
      <c r="Z11" s="213" t="e">
        <f>#REF!</f>
        <v>#REF!</v>
      </c>
      <c r="AA11" s="209" t="s">
        <v>79</v>
      </c>
      <c r="AB11" s="211" t="e">
        <f>#REF!</f>
        <v>#REF!</v>
      </c>
    </row>
    <row r="12" spans="1:28" s="211" customFormat="1" ht="45" customHeight="1" x14ac:dyDescent="0.25">
      <c r="A12" s="194">
        <f t="shared" si="4"/>
        <v>5</v>
      </c>
      <c r="B12" s="8" t="str">
        <f>+'Trần Đăng Định (4-53)'!F9</f>
        <v>Trần Đăng Định - Đỗ Thị Hạnh</v>
      </c>
      <c r="C12" s="34" t="str">
        <f>+'Trần Đăng Định (4-53)'!C12</f>
        <v>001081009370</v>
      </c>
      <c r="D12" s="205" t="str">
        <f>+'Trần Đăng Định (4-53)'!C10</f>
        <v>Thôn Thanh Trì - xã Phú Nghĩa - TP Hà Nội</v>
      </c>
      <c r="E12" s="34"/>
      <c r="F12" s="188" t="str">
        <f>+'Trần Đăng Định (4-53)'!F19</f>
        <v>04</v>
      </c>
      <c r="G12" s="188">
        <f>+'Trần Đăng Định (4-53)'!C19</f>
        <v>53</v>
      </c>
      <c r="H12" s="190">
        <f>+'Trần Đăng Định (4-53)'!C20</f>
        <v>92.6</v>
      </c>
      <c r="I12" s="190">
        <f>+'Trần Đăng Định (4-53)'!C22</f>
        <v>92.6</v>
      </c>
      <c r="J12" s="190">
        <f t="shared" si="5"/>
        <v>0</v>
      </c>
      <c r="K12" s="190">
        <f t="shared" si="2"/>
        <v>92.6</v>
      </c>
      <c r="L12" s="190"/>
      <c r="M12" s="190">
        <f t="shared" si="1"/>
        <v>92.6</v>
      </c>
      <c r="N12" s="190" t="str">
        <f>+'Trần Đăng Định (4-53)'!H26</f>
        <v>01</v>
      </c>
      <c r="O12" s="188" t="str">
        <f>+'Trần Đăng Định (4-53)'!H27</f>
        <v>04</v>
      </c>
      <c r="P12" s="189">
        <f>+'Trần Đăng Định (4-53)'!H34</f>
        <v>0</v>
      </c>
      <c r="Q12" s="188">
        <f>+'Trần Đăng Định (4-53)'!H49</f>
        <v>0</v>
      </c>
      <c r="R12" s="188">
        <f>+'Trần Đăng Định (4-53)'!H57</f>
        <v>0</v>
      </c>
      <c r="S12" s="189">
        <f t="shared" si="3"/>
        <v>0</v>
      </c>
      <c r="T12" s="212"/>
      <c r="U12" s="212"/>
      <c r="W12" s="196"/>
      <c r="X12" s="9"/>
      <c r="Y12" s="16"/>
      <c r="Z12" s="213" t="e">
        <f>#REF!</f>
        <v>#REF!</v>
      </c>
      <c r="AA12" s="209" t="s">
        <v>79</v>
      </c>
      <c r="AB12" s="211" t="e">
        <f>#REF!</f>
        <v>#REF!</v>
      </c>
    </row>
    <row r="13" spans="1:28" s="211" customFormat="1" ht="45" customHeight="1" x14ac:dyDescent="0.25">
      <c r="A13" s="194">
        <f t="shared" si="4"/>
        <v>6</v>
      </c>
      <c r="B13" s="8" t="str">
        <f>+'Đỗ Thị Ngọc (5-7)'!F9</f>
        <v>Đỗ Thị Ngọc</v>
      </c>
      <c r="C13" s="34" t="str">
        <f>+'Đỗ Thị Ngọc (5-7)'!C12</f>
        <v>001166010279</v>
      </c>
      <c r="D13" s="205" t="str">
        <f>+'Đỗ Thị Ngọc (5-7)'!C10</f>
        <v>TDP Xuân Hà - xã Xuân Mai - TP Hà Nội</v>
      </c>
      <c r="E13" s="34"/>
      <c r="F13" s="188" t="str">
        <f>+'Đỗ Thị Ngọc (5-7)'!F19</f>
        <v>05</v>
      </c>
      <c r="G13" s="188" t="str">
        <f>+'Đỗ Thị Ngọc (5-7)'!C19</f>
        <v>07</v>
      </c>
      <c r="H13" s="190">
        <f>+'Đỗ Thị Ngọc (5-7)'!C20</f>
        <v>161.19999999999999</v>
      </c>
      <c r="I13" s="190">
        <f>+'Đỗ Thị Ngọc (5-7)'!C22</f>
        <v>110.8</v>
      </c>
      <c r="J13" s="190">
        <f t="shared" si="5"/>
        <v>50.399999999999991</v>
      </c>
      <c r="K13" s="190">
        <f t="shared" si="2"/>
        <v>110.8</v>
      </c>
      <c r="L13" s="190"/>
      <c r="M13" s="190">
        <f t="shared" si="1"/>
        <v>110.8</v>
      </c>
      <c r="N13" s="190">
        <f>+'Đỗ Thị Ngọc (5-7)'!H26</f>
        <v>0</v>
      </c>
      <c r="O13" s="188">
        <f>+'Đỗ Thị Ngọc (5-7)'!H27</f>
        <v>0</v>
      </c>
      <c r="P13" s="189">
        <f>+'Đỗ Thị Ngọc (5-7)'!H34</f>
        <v>0</v>
      </c>
      <c r="Q13" s="189">
        <f>+'Đỗ Thị Ngọc (5-7)'!H49</f>
        <v>0</v>
      </c>
      <c r="R13" s="189">
        <f>+'Đỗ Thị Ngọc (5-7)'!H61</f>
        <v>0</v>
      </c>
      <c r="S13" s="189">
        <f t="shared" si="3"/>
        <v>0</v>
      </c>
      <c r="T13" s="208"/>
      <c r="U13" s="208"/>
      <c r="W13" s="196"/>
      <c r="X13" s="9"/>
      <c r="Y13" s="16"/>
      <c r="Z13" s="213" t="e">
        <f>#REF!</f>
        <v>#REF!</v>
      </c>
      <c r="AA13" s="209" t="s">
        <v>79</v>
      </c>
      <c r="AB13" s="211" t="e">
        <f>#REF!</f>
        <v>#REF!</v>
      </c>
    </row>
    <row r="14" spans="1:28" s="211" customFormat="1" ht="45" customHeight="1" x14ac:dyDescent="0.25">
      <c r="A14" s="194">
        <f t="shared" si="4"/>
        <v>7</v>
      </c>
      <c r="B14" s="8" t="str">
        <f>+'Nguyễn Văn Chiến (5-9)'!F9</f>
        <v>Nguyễn Văn Chiến</v>
      </c>
      <c r="C14" s="34" t="str">
        <f>+'Nguyễn Văn Chiến (5-9)'!C12</f>
        <v>001050018475</v>
      </c>
      <c r="D14" s="205" t="str">
        <f>+'Nguyễn Văn Chiến (5-9)'!C10</f>
        <v>Thôn Phố Gốt- xã Phú Nghĩa - TP Hà Nội</v>
      </c>
      <c r="E14" s="34"/>
      <c r="F14" s="188" t="str">
        <f>+'Nguyễn Văn Chiến (5-9)'!F19</f>
        <v>05</v>
      </c>
      <c r="G14" s="34" t="str">
        <f>+'Nguyễn Văn Chiến (5-9)'!C19</f>
        <v>09</v>
      </c>
      <c r="H14" s="190">
        <f>+'Nguyễn Văn Chiến (5-9)'!C20</f>
        <v>26.6</v>
      </c>
      <c r="I14" s="190">
        <f>+'Nguyễn Văn Chiến (5-9)'!C22</f>
        <v>26.6</v>
      </c>
      <c r="J14" s="190">
        <f t="shared" si="5"/>
        <v>0</v>
      </c>
      <c r="K14" s="190">
        <f t="shared" si="2"/>
        <v>26.6</v>
      </c>
      <c r="L14" s="190"/>
      <c r="M14" s="190">
        <f t="shared" si="1"/>
        <v>26.6</v>
      </c>
      <c r="N14" s="190" t="str">
        <f>+'Nguyễn Văn Chiến (5-9)'!H26</f>
        <v>01</v>
      </c>
      <c r="O14" s="188" t="str">
        <f>+'Nguyễn Văn Chiến (5-9)'!H27</f>
        <v>05</v>
      </c>
      <c r="P14" s="189">
        <f>+'Nguyễn Văn Chiến (5-9)'!H34</f>
        <v>0</v>
      </c>
      <c r="Q14" s="189">
        <f>+'Nguyễn Văn Chiến (5-9)'!H49</f>
        <v>0</v>
      </c>
      <c r="R14" s="188">
        <f>+'Nguyễn Văn Chiến (5-9)'!H56</f>
        <v>0</v>
      </c>
      <c r="S14" s="189">
        <f t="shared" si="3"/>
        <v>0</v>
      </c>
      <c r="T14" s="208"/>
      <c r="U14" s="212"/>
      <c r="W14" s="196"/>
      <c r="X14" s="9"/>
      <c r="Y14" s="16"/>
      <c r="Z14" s="213" t="e">
        <f>#REF!</f>
        <v>#REF!</v>
      </c>
      <c r="AA14" s="209" t="s">
        <v>79</v>
      </c>
      <c r="AB14" s="211" t="e">
        <f>#REF!</f>
        <v>#REF!</v>
      </c>
    </row>
    <row r="15" spans="1:28" s="211" customFormat="1" ht="45" customHeight="1" x14ac:dyDescent="0.25">
      <c r="A15" s="194">
        <f t="shared" si="4"/>
        <v>8</v>
      </c>
      <c r="B15" s="8" t="str">
        <f>'Nguyễn Thị Vân (5-8)'!F9</f>
        <v>Nguyễn Thị Vân</v>
      </c>
      <c r="C15" s="34" t="str">
        <f>'Nguyễn Thị Vân (5-8)'!C12:E12</f>
        <v>001152014624</v>
      </c>
      <c r="D15" s="205" t="str">
        <f>'Nguyễn Thị Vân (5-8)'!C10</f>
        <v>Thôn Phố Gốt - xã Phú Nghĩa - TP Hà Nội</v>
      </c>
      <c r="E15" s="34"/>
      <c r="F15" s="188" t="str">
        <f>'Nguyễn Thị Vân (5-8)'!F19</f>
        <v>04</v>
      </c>
      <c r="G15" s="188" t="str">
        <f>'Nguyễn Thị Vân (5-8)'!C19</f>
        <v>05</v>
      </c>
      <c r="H15" s="190">
        <f>'Nguyễn Thị Vân (5-8)'!C20</f>
        <v>25.2</v>
      </c>
      <c r="I15" s="190">
        <f>'Nguyễn Thị Vân (5-8)'!C22</f>
        <v>25.2</v>
      </c>
      <c r="J15" s="190">
        <f>'Nguyễn Thị Vân (5-8)'!C23</f>
        <v>0</v>
      </c>
      <c r="K15" s="190">
        <f t="shared" si="2"/>
        <v>25.2</v>
      </c>
      <c r="L15" s="190"/>
      <c r="M15" s="190">
        <f t="shared" si="1"/>
        <v>25.2</v>
      </c>
      <c r="N15" s="190">
        <f>'Nguyễn Thị Vân (5-8)'!H26</f>
        <v>0</v>
      </c>
      <c r="O15" s="188" t="str">
        <f>'Nguyễn Thị Vân (5-8)'!H27</f>
        <v>06</v>
      </c>
      <c r="P15" s="189">
        <f>+'[1]Bùi Văn Đồng(8-23)'!H34</f>
        <v>0</v>
      </c>
      <c r="Q15" s="189">
        <f>+'[1]Bùi Văn Đồng(8-23)'!H49</f>
        <v>0</v>
      </c>
      <c r="R15" s="188">
        <f>+'[1]Bùi Văn Đồng(8-23)'!H55</f>
        <v>0</v>
      </c>
      <c r="S15" s="189">
        <f t="shared" si="3"/>
        <v>0</v>
      </c>
      <c r="T15" s="208"/>
      <c r="U15" s="212"/>
      <c r="W15" s="196"/>
      <c r="X15" s="9"/>
      <c r="Y15" s="16"/>
      <c r="Z15" s="213" t="e">
        <f>#REF!</f>
        <v>#REF!</v>
      </c>
      <c r="AA15" s="209" t="s">
        <v>79</v>
      </c>
      <c r="AB15" s="211" t="e">
        <f>#REF!</f>
        <v>#REF!</v>
      </c>
    </row>
    <row r="16" spans="1:28" s="211" customFormat="1" ht="45" customHeight="1" x14ac:dyDescent="0.25">
      <c r="A16" s="194">
        <f t="shared" si="4"/>
        <v>9</v>
      </c>
      <c r="B16" s="8" t="str">
        <f>+'Vũ Viết Chinh (5-79)'!F9</f>
        <v>Vũ Viết Chinh - Nguyễn Thị Phương</v>
      </c>
      <c r="C16" s="34" t="str">
        <f>+'Vũ Viết Chinh (5-79)'!C12</f>
        <v>001067020168</v>
      </c>
      <c r="D16" s="205" t="str">
        <f>+'Vũ Viết Chinh (5-79)'!C10</f>
        <v>Thôn Phố Gốt - Xã Phú Nghĩa - TP Hà Nội</v>
      </c>
      <c r="E16" s="34"/>
      <c r="F16" s="188" t="str">
        <f>+'Vũ Viết Chinh (5-79)'!F19</f>
        <v>05</v>
      </c>
      <c r="G16" s="188">
        <f>+'Vũ Viết Chinh (5-79)'!C19</f>
        <v>79</v>
      </c>
      <c r="H16" s="190">
        <f>+'Vũ Viết Chinh (5-79)'!C20</f>
        <v>97.3</v>
      </c>
      <c r="I16" s="190">
        <f>+'Vũ Viết Chinh (5-79)'!C22</f>
        <v>59.1</v>
      </c>
      <c r="J16" s="190">
        <f t="shared" si="5"/>
        <v>38.199999999999996</v>
      </c>
      <c r="K16" s="190">
        <f t="shared" si="2"/>
        <v>59.1</v>
      </c>
      <c r="L16" s="190"/>
      <c r="M16" s="190">
        <f t="shared" si="1"/>
        <v>59.1</v>
      </c>
      <c r="N16" s="190" t="str">
        <f>+'Vũ Viết Chinh (5-79)'!H26</f>
        <v>01</v>
      </c>
      <c r="O16" s="188" t="str">
        <f>+'Vũ Viết Chinh (5-79)'!H27</f>
        <v>09</v>
      </c>
      <c r="P16" s="189">
        <f>+'Vũ Viết Chinh (5-79)'!H34</f>
        <v>0</v>
      </c>
      <c r="Q16" s="189">
        <f>+'Vũ Viết Chinh (5-79)'!H49</f>
        <v>0</v>
      </c>
      <c r="R16" s="189">
        <f>+'Vũ Viết Chinh (5-79)'!H57</f>
        <v>0</v>
      </c>
      <c r="S16" s="189">
        <f t="shared" si="3"/>
        <v>0</v>
      </c>
      <c r="T16" s="208"/>
      <c r="U16" s="212"/>
      <c r="W16" s="196"/>
      <c r="X16" s="9"/>
      <c r="Y16" s="16"/>
      <c r="Z16" s="213"/>
      <c r="AA16" s="209"/>
    </row>
    <row r="17" spans="1:28" s="211" customFormat="1" ht="45" customHeight="1" x14ac:dyDescent="0.25">
      <c r="A17" s="194">
        <f t="shared" si="4"/>
        <v>10</v>
      </c>
      <c r="B17" s="8" t="str">
        <f>+'Bùi Văn Hồng'!F9</f>
        <v>Bùi Văn Hồng</v>
      </c>
      <c r="C17" s="34" t="str">
        <f>+'Bùi Văn Hồng'!C12</f>
        <v>001060010502</v>
      </c>
      <c r="D17" s="205" t="str">
        <f>+'Bùi Văn Hồng'!C10</f>
        <v>Tổ dân phố Đình Tổ - xã Quốc Oai - TP Hà Nội</v>
      </c>
      <c r="E17" s="34"/>
      <c r="F17" s="188" t="str">
        <f>+'Bùi Văn Hồng'!F19</f>
        <v>05</v>
      </c>
      <c r="G17" s="188">
        <f>+'Bùi Văn Hồng'!C19</f>
        <v>76</v>
      </c>
      <c r="H17" s="190">
        <f>+'Bùi Văn Hồng'!C20</f>
        <v>82.4</v>
      </c>
      <c r="I17" s="190">
        <f>+'Bùi Văn Hồng'!C22</f>
        <v>53.1</v>
      </c>
      <c r="J17" s="190">
        <f t="shared" si="5"/>
        <v>29.300000000000004</v>
      </c>
      <c r="K17" s="190">
        <f t="shared" si="2"/>
        <v>53.1</v>
      </c>
      <c r="L17" s="190"/>
      <c r="M17" s="190">
        <f t="shared" si="1"/>
        <v>53.1</v>
      </c>
      <c r="N17" s="190">
        <f>+'Bùi Văn Hồng'!H26</f>
        <v>0</v>
      </c>
      <c r="O17" s="188">
        <f>+'Bùi Văn Hồng'!H27</f>
        <v>0</v>
      </c>
      <c r="P17" s="189">
        <f>+'Bùi Văn Hồng'!H34</f>
        <v>0</v>
      </c>
      <c r="Q17" s="189">
        <f>+'Bùi Văn Hồng'!H49</f>
        <v>0</v>
      </c>
      <c r="R17" s="189">
        <f>+'Bùi Văn Hồng'!H56</f>
        <v>0</v>
      </c>
      <c r="S17" s="189">
        <f t="shared" si="3"/>
        <v>0</v>
      </c>
      <c r="T17" s="208"/>
      <c r="U17" s="208"/>
      <c r="W17" s="196"/>
      <c r="X17" s="9"/>
      <c r="Y17" s="16"/>
      <c r="Z17" s="213"/>
      <c r="AA17" s="209"/>
    </row>
    <row r="18" spans="1:28" s="211" customFormat="1" ht="45" customHeight="1" x14ac:dyDescent="0.25">
      <c r="A18" s="194">
        <f t="shared" si="4"/>
        <v>11</v>
      </c>
      <c r="B18" s="8" t="str">
        <f>+'Nguyễn Thị Nguyên (5-45)'!F9</f>
        <v>Nguyễn Thị Nguyên</v>
      </c>
      <c r="C18" s="34" t="str">
        <f>+'Nguyễn Thị Nguyên (5-45)'!C12</f>
        <v>001165004448</v>
      </c>
      <c r="D18" s="205" t="str">
        <f>+'Nguyễn Thị Nguyên (5-45)'!C10</f>
        <v>Thôn Đông Cựu Đồi - xã Phú Nghĩa - TP Hà Nội</v>
      </c>
      <c r="E18" s="34"/>
      <c r="F18" s="188" t="str">
        <f>+'Nguyễn Thị Nguyên (5-45)'!F19</f>
        <v>05</v>
      </c>
      <c r="G18" s="188">
        <f>+'Nguyễn Thị Nguyên (5-45)'!C19</f>
        <v>45</v>
      </c>
      <c r="H18" s="190">
        <f>+'Nguyễn Thị Nguyên (5-45)'!C20</f>
        <v>60.5</v>
      </c>
      <c r="I18" s="190">
        <f>+'Nguyễn Thị Nguyên (5-45)'!C22</f>
        <v>43</v>
      </c>
      <c r="J18" s="190">
        <f t="shared" si="5"/>
        <v>17.5</v>
      </c>
      <c r="K18" s="190">
        <f t="shared" si="2"/>
        <v>43</v>
      </c>
      <c r="L18" s="190"/>
      <c r="M18" s="190">
        <f t="shared" si="1"/>
        <v>43</v>
      </c>
      <c r="N18" s="190" t="str">
        <f>+'Nguyễn Thị Nguyên (5-45)'!H26</f>
        <v>01</v>
      </c>
      <c r="O18" s="189" t="str">
        <f>+'Nguyễn Thị Nguyên (5-45)'!H27</f>
        <v>07</v>
      </c>
      <c r="P18" s="189">
        <f>+'Nguyễn Thị Nguyên (5-45)'!H34</f>
        <v>0</v>
      </c>
      <c r="Q18" s="189">
        <f>+'Nguyễn Thị Nguyên (5-45)'!H49</f>
        <v>0</v>
      </c>
      <c r="R18" s="189">
        <f>+'Nguyễn Thị Nguyên (5-45)'!H56</f>
        <v>0</v>
      </c>
      <c r="S18" s="189">
        <f t="shared" si="3"/>
        <v>0</v>
      </c>
      <c r="T18" s="208"/>
      <c r="U18" s="208"/>
      <c r="W18" s="196"/>
      <c r="X18" s="9"/>
      <c r="Y18" s="16"/>
      <c r="Z18" s="213"/>
      <c r="AA18" s="209"/>
    </row>
    <row r="19" spans="1:28" s="211" customFormat="1" ht="45" customHeight="1" x14ac:dyDescent="0.25">
      <c r="A19" s="194">
        <f t="shared" si="4"/>
        <v>12</v>
      </c>
      <c r="B19" s="8" t="str">
        <f>+'Trịnh Quang Lê (5-56)'!F9</f>
        <v>Trịnh Quang Lê -  Đỗ Thị Nguyệt</v>
      </c>
      <c r="C19" s="34" t="str">
        <f>+'Trịnh Quang Lê (5-56)'!C12</f>
        <v>0380700144311 - 001175042864</v>
      </c>
      <c r="D19" s="205" t="str">
        <f>+'Trịnh Quang Lê (5-56)'!C10</f>
        <v>Thôn Phố Gốt - xã Phú Nghĩa - TP Hà Nội</v>
      </c>
      <c r="E19" s="34"/>
      <c r="F19" s="188" t="str">
        <f>+'Trịnh Quang Lê (5-56)'!F19</f>
        <v>05</v>
      </c>
      <c r="G19" s="188">
        <f>+'Trịnh Quang Lê (5-56)'!C19</f>
        <v>56</v>
      </c>
      <c r="H19" s="190">
        <f>+'Trịnh Quang Lê (5-56)'!C20</f>
        <v>50.1</v>
      </c>
      <c r="I19" s="190">
        <f>+'Trịnh Quang Lê (5-56)'!C22</f>
        <v>42.6</v>
      </c>
      <c r="J19" s="190">
        <f t="shared" si="5"/>
        <v>7.5</v>
      </c>
      <c r="K19" s="190">
        <f t="shared" si="2"/>
        <v>42.6</v>
      </c>
      <c r="L19" s="190"/>
      <c r="M19" s="190">
        <f t="shared" si="1"/>
        <v>42.6</v>
      </c>
      <c r="N19" s="190" t="str">
        <f>+'Trịnh Quang Lê (5-56)'!H27</f>
        <v>01</v>
      </c>
      <c r="O19" s="188" t="str">
        <f>+'Trịnh Quang Lê (5-56)'!H28</f>
        <v>04</v>
      </c>
      <c r="P19" s="189">
        <f>+'Trịnh Quang Lê (5-56)'!H35</f>
        <v>0</v>
      </c>
      <c r="Q19" s="214">
        <f>+'Trịnh Quang Lê (5-56)'!H50</f>
        <v>0</v>
      </c>
      <c r="R19" s="214">
        <f>+'Trịnh Quang Lê (5-56)'!H63</f>
        <v>0</v>
      </c>
      <c r="S19" s="189">
        <f t="shared" si="3"/>
        <v>0</v>
      </c>
      <c r="T19" s="215"/>
      <c r="U19" s="215"/>
      <c r="W19" s="196"/>
      <c r="X19" s="9"/>
      <c r="Y19" s="16"/>
      <c r="Z19" s="213"/>
      <c r="AA19" s="209"/>
    </row>
    <row r="20" spans="1:28" s="211" customFormat="1" ht="45" customHeight="1" x14ac:dyDescent="0.25">
      <c r="A20" s="194">
        <f t="shared" si="4"/>
        <v>13</v>
      </c>
      <c r="B20" s="8" t="str">
        <f>+'Nguyễn Đức Tú (6-62)'!F9</f>
        <v>Nguyễn Đức Tú</v>
      </c>
      <c r="C20" s="34" t="str">
        <f>+'Nguyễn Đức Tú (6-62)'!C12</f>
        <v>001095032801</v>
      </c>
      <c r="D20" s="205" t="str">
        <f>+'Nguyễn Đức Tú (6-62)'!C10</f>
        <v>Thôn Phố Gốt - xã Phú Nghĩa - TP Hà Nội</v>
      </c>
      <c r="E20" s="34"/>
      <c r="F20" s="188" t="str">
        <f>+'Nguyễn Đức Tú (6-62)'!F19</f>
        <v>06</v>
      </c>
      <c r="G20" s="188">
        <f>+'Nguyễn Đức Tú (6-62)'!C19</f>
        <v>62</v>
      </c>
      <c r="H20" s="190">
        <f>+'Nguyễn Đức Tú (6-62)'!C20</f>
        <v>111.5</v>
      </c>
      <c r="I20" s="190">
        <f>+'Nguyễn Đức Tú (6-62)'!C22</f>
        <v>37.6</v>
      </c>
      <c r="J20" s="190">
        <f t="shared" si="5"/>
        <v>73.900000000000006</v>
      </c>
      <c r="K20" s="190">
        <f t="shared" si="2"/>
        <v>37.6</v>
      </c>
      <c r="L20" s="190"/>
      <c r="M20" s="190">
        <f t="shared" si="1"/>
        <v>37.6</v>
      </c>
      <c r="N20" s="190" t="str">
        <f>+'Nguyễn Đức Tú (6-62)'!H26</f>
        <v>01</v>
      </c>
      <c r="O20" s="188" t="str">
        <f>+'Nguyễn Đức Tú (6-62)'!H27</f>
        <v>04</v>
      </c>
      <c r="P20" s="189">
        <f>+'Nguyễn Đức Tú (6-62)'!H34</f>
        <v>0</v>
      </c>
      <c r="Q20" s="214">
        <f>+'Nguyễn Đức Tú (6-62)'!H49</f>
        <v>0</v>
      </c>
      <c r="R20" s="214">
        <f>+'Nguyễn Đức Tú (6-62)'!H55</f>
        <v>0</v>
      </c>
      <c r="S20" s="189">
        <f t="shared" si="3"/>
        <v>0</v>
      </c>
      <c r="T20" s="215"/>
      <c r="U20" s="215"/>
      <c r="W20" s="196"/>
      <c r="X20" s="9"/>
      <c r="Y20" s="16"/>
      <c r="Z20" s="213"/>
      <c r="AA20" s="209"/>
    </row>
    <row r="21" spans="1:28" s="211" customFormat="1" ht="45" customHeight="1" x14ac:dyDescent="0.25">
      <c r="A21" s="194">
        <f t="shared" si="4"/>
        <v>14</v>
      </c>
      <c r="B21" s="8" t="str">
        <f>+'Lê Văn Tâm (6-64)'!F9</f>
        <v>Lê Văn Tâm - Bùi Thị Lan</v>
      </c>
      <c r="C21" s="34" t="str">
        <f>+'Lê Văn Tâm (6-64)'!C12</f>
        <v>001059033000</v>
      </c>
      <c r="D21" s="205" t="str">
        <f>+'Lê Văn Tâm (6-64)'!C10</f>
        <v>Thôn Phố Gốt - Xã Phú Nghĩa - TP Hà Nội</v>
      </c>
      <c r="E21" s="34"/>
      <c r="F21" s="188" t="str">
        <f>+'Lê Văn Tâm (6-64)'!F19</f>
        <v>06</v>
      </c>
      <c r="G21" s="188">
        <f>+'Lê Văn Tâm (6-64)'!C19</f>
        <v>64</v>
      </c>
      <c r="H21" s="190">
        <f>+'Lê Văn Tâm (6-64)'!C20</f>
        <v>110.5</v>
      </c>
      <c r="I21" s="190">
        <f>+'Lê Văn Tâm (6-64)'!C22</f>
        <v>37.1</v>
      </c>
      <c r="J21" s="190">
        <f t="shared" si="5"/>
        <v>73.400000000000006</v>
      </c>
      <c r="K21" s="190">
        <f t="shared" si="2"/>
        <v>37.1</v>
      </c>
      <c r="L21" s="190"/>
      <c r="M21" s="190">
        <f t="shared" si="1"/>
        <v>37.1</v>
      </c>
      <c r="N21" s="190">
        <f>+'Lê Văn Tâm (6-64)'!H26</f>
        <v>0</v>
      </c>
      <c r="O21" s="189">
        <f>+'Lê Văn Tâm (6-64)'!H27</f>
        <v>0</v>
      </c>
      <c r="P21" s="189">
        <f>+'Lê Văn Tâm (6-64)'!H34</f>
        <v>0</v>
      </c>
      <c r="Q21" s="189">
        <f>+'Lê Văn Tâm (6-64)'!H49</f>
        <v>0</v>
      </c>
      <c r="R21" s="214">
        <f>+'Nguyễn Đức Tú (6-62)'!H55</f>
        <v>0</v>
      </c>
      <c r="S21" s="189">
        <f t="shared" si="3"/>
        <v>0</v>
      </c>
      <c r="T21" s="208"/>
      <c r="U21" s="215"/>
      <c r="W21" s="196"/>
      <c r="X21" s="9"/>
      <c r="Y21" s="16"/>
      <c r="Z21" s="213"/>
      <c r="AA21" s="209"/>
    </row>
    <row r="22" spans="1:28" s="211" customFormat="1" ht="45" customHeight="1" x14ac:dyDescent="0.25">
      <c r="A22" s="194">
        <f t="shared" si="4"/>
        <v>15</v>
      </c>
      <c r="B22" s="8" t="str">
        <f>+'Nguyễn Vũ Mạnh (6-4)'!F9</f>
        <v>Nguyễn Vũ Mạnh</v>
      </c>
      <c r="C22" s="34" t="str">
        <f>+'Nguyễn Vũ Mạnh (6-4)'!C12</f>
        <v>001065037043</v>
      </c>
      <c r="D22" s="205" t="str">
        <f>+'Nguyễn Vũ Mạnh (6-4)'!C10</f>
        <v>Thôn Thanh Trì - xã Phú Nghĩa - TP Hà Nội</v>
      </c>
      <c r="E22" s="34"/>
      <c r="F22" s="188" t="str">
        <f>+'Nguyễn Vũ Mạnh (6-4)'!F19</f>
        <v>06</v>
      </c>
      <c r="G22" s="188" t="str">
        <f>+'Nguyễn Vũ Mạnh (6-4)'!C19</f>
        <v>04</v>
      </c>
      <c r="H22" s="190">
        <f>+'Nguyễn Vũ Mạnh (6-4)'!C20</f>
        <v>660.5</v>
      </c>
      <c r="I22" s="190">
        <f>+'Nguyễn Vũ Mạnh (6-4)'!C22</f>
        <v>256.60000000000002</v>
      </c>
      <c r="J22" s="190">
        <f t="shared" si="5"/>
        <v>403.9</v>
      </c>
      <c r="K22" s="190">
        <f t="shared" si="2"/>
        <v>256.60000000000002</v>
      </c>
      <c r="L22" s="190"/>
      <c r="M22" s="190">
        <f t="shared" si="1"/>
        <v>256.60000000000002</v>
      </c>
      <c r="N22" s="190" t="str">
        <f>+'Nguyễn Vũ Mạnh (6-4)'!H26</f>
        <v>02</v>
      </c>
      <c r="O22" s="188" t="str">
        <f>+'Nguyễn Vũ Mạnh (6-4)'!H27</f>
        <v>07</v>
      </c>
      <c r="P22" s="189">
        <f>+'Nguyễn Vũ Mạnh (6-4)'!H34</f>
        <v>0</v>
      </c>
      <c r="Q22" s="189">
        <f>+'Nguyễn Vũ Mạnh (6-4)'!H49</f>
        <v>0</v>
      </c>
      <c r="R22" s="189">
        <f>+'Nguyễn Vũ Mạnh (6-4)'!H59</f>
        <v>0</v>
      </c>
      <c r="S22" s="189">
        <f t="shared" si="3"/>
        <v>0</v>
      </c>
      <c r="T22" s="208"/>
      <c r="U22" s="208"/>
      <c r="W22" s="196"/>
      <c r="X22" s="9"/>
      <c r="Y22" s="16"/>
      <c r="Z22" s="213"/>
      <c r="AA22" s="209"/>
    </row>
    <row r="23" spans="1:28" s="211" customFormat="1" ht="45" customHeight="1" x14ac:dyDescent="0.25">
      <c r="A23" s="194">
        <f t="shared" si="4"/>
        <v>16</v>
      </c>
      <c r="B23" s="8" t="str">
        <f>+'Nguyễn Bá Ước (6-3)'!F9</f>
        <v>Nguyễn Bá Ước - Nguyễn Thị Xuân</v>
      </c>
      <c r="C23" s="34" t="str">
        <f>+'Nguyễn Bá Ước (6-3)'!C12</f>
        <v>001065023600</v>
      </c>
      <c r="D23" s="205" t="str">
        <f>+'Nguyễn Bá Ước (6-3)'!C10</f>
        <v>Thôn Thanh Trì - xã Phú Nghĩa - TP Hà Nội</v>
      </c>
      <c r="E23" s="34"/>
      <c r="F23" s="188" t="str">
        <f>+'Nguyễn Bá Ước (6-3)'!F19</f>
        <v>03</v>
      </c>
      <c r="G23" s="188" t="str">
        <f>+'Nguyễn Bá Ước (6-3)'!C19</f>
        <v>06</v>
      </c>
      <c r="H23" s="190" t="str">
        <f>+'Nguyễn Bá Ước (6-3)'!C20</f>
        <v>1087,7</v>
      </c>
      <c r="I23" s="190">
        <f>+'Nguyễn Bá Ước (6-3)'!C22</f>
        <v>91</v>
      </c>
      <c r="J23" s="190">
        <f t="shared" si="5"/>
        <v>996.7</v>
      </c>
      <c r="K23" s="190">
        <f t="shared" si="2"/>
        <v>91</v>
      </c>
      <c r="L23" s="190"/>
      <c r="M23" s="190">
        <f t="shared" si="1"/>
        <v>91</v>
      </c>
      <c r="N23" s="190" t="str">
        <f>+'Nguyễn Bá Ước (6-3)'!H26</f>
        <v>01</v>
      </c>
      <c r="O23" s="188" t="str">
        <f>+'Nguyễn Bá Ước (6-3)'!H27</f>
        <v>06</v>
      </c>
      <c r="P23" s="189">
        <f>+'Nguyễn Bá Ước (6-3)'!H34</f>
        <v>0</v>
      </c>
      <c r="Q23" s="189">
        <f>+'Nguyễn Bá Ước (6-3)'!H49</f>
        <v>0</v>
      </c>
      <c r="R23" s="189">
        <f>+'Nguyễn Bá Ước (6-3)'!H55</f>
        <v>0</v>
      </c>
      <c r="S23" s="189">
        <f t="shared" si="3"/>
        <v>0</v>
      </c>
      <c r="T23" s="208"/>
      <c r="U23" s="208"/>
      <c r="W23" s="196"/>
      <c r="X23" s="9"/>
      <c r="Y23" s="16"/>
      <c r="Z23" s="213"/>
      <c r="AA23" s="209"/>
    </row>
    <row r="24" spans="1:28" s="211" customFormat="1" ht="45" customHeight="1" x14ac:dyDescent="0.25">
      <c r="A24" s="194">
        <f t="shared" si="4"/>
        <v>17</v>
      </c>
      <c r="B24" s="8" t="str">
        <f>+'Trần Trọng Hùng (6-55)'!F9</f>
        <v>Trần Trọng Hùng - Nguyễn Thị Minh</v>
      </c>
      <c r="C24" s="34" t="str">
        <f>+'Trần Trọng Hùng (6-55)'!C12</f>
        <v>001048000728 - 001153001127</v>
      </c>
      <c r="D24" s="205" t="str">
        <f>+'Trần Trọng Hùng (6-55)'!C10</f>
        <v>Thôn Phố Gốt - xã Phú Nghĩa - TP Hà Nội</v>
      </c>
      <c r="E24" s="34"/>
      <c r="F24" s="188" t="str">
        <f>+'Trần Trọng Hùng (6-55)'!F19</f>
        <v>06</v>
      </c>
      <c r="G24" s="188">
        <f>+'Trần Trọng Hùng (6-55)'!C19</f>
        <v>55</v>
      </c>
      <c r="H24" s="190">
        <f>+'Trần Trọng Hùng (6-55)'!C20</f>
        <v>336.2</v>
      </c>
      <c r="I24" s="190">
        <f>+'Trần Trọng Hùng (6-55)'!C22</f>
        <v>68.3</v>
      </c>
      <c r="J24" s="190">
        <f t="shared" si="5"/>
        <v>267.89999999999998</v>
      </c>
      <c r="K24" s="190">
        <f t="shared" si="2"/>
        <v>68.3</v>
      </c>
      <c r="L24" s="190"/>
      <c r="M24" s="190">
        <f t="shared" si="1"/>
        <v>68.3</v>
      </c>
      <c r="N24" s="190" t="str">
        <f>+'Trần Trọng Hùng (6-55)'!H26</f>
        <v>01</v>
      </c>
      <c r="O24" s="188">
        <f>+'Trần Trọng Hùng (6-55)'!H27</f>
        <v>10</v>
      </c>
      <c r="P24" s="189">
        <f>+'Trần Trọng Hùng (6-55)'!H34</f>
        <v>0</v>
      </c>
      <c r="Q24" s="189">
        <f>+'Trần Trọng Hùng (6-55)'!H49</f>
        <v>0</v>
      </c>
      <c r="R24" s="189">
        <f>+'Trần Trọng Hùng (6-55)'!H57</f>
        <v>0</v>
      </c>
      <c r="S24" s="189">
        <f t="shared" si="3"/>
        <v>0</v>
      </c>
      <c r="T24" s="208"/>
      <c r="U24" s="208"/>
      <c r="W24" s="196"/>
      <c r="X24" s="9"/>
      <c r="Y24" s="16"/>
      <c r="Z24" s="213"/>
      <c r="AA24" s="209"/>
    </row>
    <row r="25" spans="1:28" s="211" customFormat="1" ht="45" customHeight="1" x14ac:dyDescent="0.25">
      <c r="A25" s="194">
        <f t="shared" si="4"/>
        <v>18</v>
      </c>
      <c r="B25" s="8" t="str">
        <f>+'Trịnh Văn Hưởng (6-63)'!F9</f>
        <v>Trịnh Văn Hưởng - Nguyễn Thị Lan</v>
      </c>
      <c r="C25" s="34" t="str">
        <f>+'Trịnh Văn Hưởng (6-63)'!C12</f>
        <v>00105514876</v>
      </c>
      <c r="D25" s="205" t="str">
        <f>+'Trịnh Văn Hưởng (6-63)'!C10</f>
        <v>Thôn Quyết Thượng - xã Phú Nghĩa - TP Hà Nội</v>
      </c>
      <c r="E25" s="34"/>
      <c r="F25" s="188" t="str">
        <f>+'Trịnh Văn Hưởng (6-63)'!F19</f>
        <v>06</v>
      </c>
      <c r="G25" s="188">
        <f>+'Trịnh Văn Hưởng (6-63)'!C19</f>
        <v>63</v>
      </c>
      <c r="H25" s="190">
        <f>+'Trịnh Văn Hưởng (6-63)'!C20</f>
        <v>115.7</v>
      </c>
      <c r="I25" s="190">
        <f>+'Trịnh Văn Hưởng (6-63)'!C22</f>
        <v>35.9</v>
      </c>
      <c r="J25" s="190">
        <f t="shared" si="5"/>
        <v>79.800000000000011</v>
      </c>
      <c r="K25" s="190">
        <f t="shared" si="2"/>
        <v>35.9</v>
      </c>
      <c r="L25" s="190"/>
      <c r="M25" s="190">
        <f t="shared" si="1"/>
        <v>35.9</v>
      </c>
      <c r="N25" s="190" t="str">
        <f>+'Trịnh Văn Hưởng (6-63)'!H26</f>
        <v>01</v>
      </c>
      <c r="O25" s="188" t="str">
        <f>+'Trịnh Văn Hưởng (6-63)'!H27</f>
        <v>06</v>
      </c>
      <c r="P25" s="189">
        <f>+'Trịnh Văn Hưởng (6-63)'!H34</f>
        <v>0</v>
      </c>
      <c r="Q25" s="189">
        <f>+'Trịnh Văn Hưởng (6-63)'!H49</f>
        <v>0</v>
      </c>
      <c r="R25" s="189">
        <f>+'Trịnh Văn Hưởng (6-63)'!H55</f>
        <v>0</v>
      </c>
      <c r="S25" s="189">
        <f t="shared" si="3"/>
        <v>0</v>
      </c>
      <c r="T25" s="208"/>
      <c r="U25" s="208"/>
      <c r="W25" s="196"/>
      <c r="X25" s="9"/>
      <c r="Y25" s="16"/>
      <c r="Z25" s="213"/>
      <c r="AA25" s="209"/>
    </row>
    <row r="26" spans="1:28" s="211" customFormat="1" ht="45" customHeight="1" x14ac:dyDescent="0.25">
      <c r="A26" s="194">
        <f t="shared" si="4"/>
        <v>19</v>
      </c>
      <c r="B26" s="8" t="e">
        <f>+#REF!</f>
        <v>#REF!</v>
      </c>
      <c r="C26" s="34" t="e">
        <f>+#REF!</f>
        <v>#REF!</v>
      </c>
      <c r="D26" s="205" t="e">
        <f>+#REF!</f>
        <v>#REF!</v>
      </c>
      <c r="E26" s="34"/>
      <c r="F26" s="188" t="e">
        <f>+#REF!</f>
        <v>#REF!</v>
      </c>
      <c r="G26" s="188" t="e">
        <f>+#REF!</f>
        <v>#REF!</v>
      </c>
      <c r="H26" s="190" t="e">
        <f>+#REF!</f>
        <v>#REF!</v>
      </c>
      <c r="I26" s="190" t="e">
        <f>+#REF!</f>
        <v>#REF!</v>
      </c>
      <c r="J26" s="190" t="e">
        <f t="shared" si="5"/>
        <v>#REF!</v>
      </c>
      <c r="K26" s="190" t="e">
        <f t="shared" si="2"/>
        <v>#REF!</v>
      </c>
      <c r="L26" s="190"/>
      <c r="M26" s="190" t="e">
        <f t="shared" si="1"/>
        <v>#REF!</v>
      </c>
      <c r="N26" s="190" t="e">
        <f>+#REF!</f>
        <v>#REF!</v>
      </c>
      <c r="O26" s="188" t="e">
        <f>+#REF!</f>
        <v>#REF!</v>
      </c>
      <c r="P26" s="189" t="e">
        <f>+#REF!</f>
        <v>#REF!</v>
      </c>
      <c r="Q26" s="188" t="e">
        <f>+#REF!</f>
        <v>#REF!</v>
      </c>
      <c r="R26" s="188" t="e">
        <f>+#REF!</f>
        <v>#REF!</v>
      </c>
      <c r="S26" s="189" t="e">
        <f t="shared" si="3"/>
        <v>#REF!</v>
      </c>
      <c r="T26" s="212"/>
      <c r="U26" s="212"/>
      <c r="W26" s="196"/>
      <c r="X26" s="9"/>
      <c r="Y26" s="16"/>
      <c r="Z26" s="213"/>
      <c r="AA26" s="209"/>
    </row>
    <row r="27" spans="1:28" s="211" customFormat="1" ht="45" customHeight="1" x14ac:dyDescent="0.25">
      <c r="A27" s="194">
        <f t="shared" si="4"/>
        <v>20</v>
      </c>
      <c r="B27" s="8" t="e">
        <f>+#REF!</f>
        <v>#REF!</v>
      </c>
      <c r="C27" s="34" t="e">
        <f>+#REF!</f>
        <v>#REF!</v>
      </c>
      <c r="D27" s="205" t="e">
        <f>+#REF!</f>
        <v>#REF!</v>
      </c>
      <c r="E27" s="34"/>
      <c r="F27" s="188" t="e">
        <f>+#REF!</f>
        <v>#REF!</v>
      </c>
      <c r="G27" s="188" t="e">
        <f>+#REF!</f>
        <v>#REF!</v>
      </c>
      <c r="H27" s="190" t="e">
        <f>+#REF!</f>
        <v>#REF!</v>
      </c>
      <c r="I27" s="190" t="e">
        <f>+#REF!</f>
        <v>#REF!</v>
      </c>
      <c r="J27" s="190" t="e">
        <f t="shared" si="5"/>
        <v>#REF!</v>
      </c>
      <c r="K27" s="190" t="e">
        <f t="shared" si="2"/>
        <v>#REF!</v>
      </c>
      <c r="L27" s="190"/>
      <c r="M27" s="190" t="e">
        <f t="shared" si="1"/>
        <v>#REF!</v>
      </c>
      <c r="N27" s="190" t="e">
        <f>+#REF!</f>
        <v>#REF!</v>
      </c>
      <c r="O27" s="188" t="e">
        <f>+#REF!</f>
        <v>#REF!</v>
      </c>
      <c r="P27" s="189" t="e">
        <f>+#REF!</f>
        <v>#REF!</v>
      </c>
      <c r="Q27" s="189" t="e">
        <f>+#REF!</f>
        <v>#REF!</v>
      </c>
      <c r="R27" s="189" t="e">
        <f>+#REF!</f>
        <v>#REF!</v>
      </c>
      <c r="S27" s="189" t="e">
        <f t="shared" si="3"/>
        <v>#REF!</v>
      </c>
      <c r="T27" s="208"/>
      <c r="U27" s="208"/>
      <c r="W27" s="196"/>
      <c r="X27" s="9"/>
      <c r="Y27" s="16"/>
      <c r="Z27" s="213"/>
      <c r="AA27" s="209"/>
    </row>
    <row r="28" spans="1:28" s="7" customFormat="1" ht="18.75" hidden="1" x14ac:dyDescent="0.25">
      <c r="A28" s="194" t="e">
        <f>+#REF!+1</f>
        <v>#REF!</v>
      </c>
      <c r="B28" s="17" t="e">
        <f>+#REF!</f>
        <v>#REF!</v>
      </c>
      <c r="C28" s="35" t="e">
        <f>+#REF!</f>
        <v>#REF!</v>
      </c>
      <c r="D28" s="216" t="e">
        <f>+#REF!</f>
        <v>#REF!</v>
      </c>
      <c r="E28" s="31" t="e">
        <f>+#REF!</f>
        <v>#REF!</v>
      </c>
      <c r="F28" s="32" t="e">
        <f>+#REF!</f>
        <v>#REF!</v>
      </c>
      <c r="G28" s="32" t="e">
        <f>+#REF!</f>
        <v>#REF!</v>
      </c>
      <c r="H28" s="33" t="e">
        <f>+#REF!</f>
        <v>#REF!</v>
      </c>
      <c r="I28" s="33" t="e">
        <f>+#REF!</f>
        <v>#REF!</v>
      </c>
      <c r="J28" s="33" t="e">
        <f t="shared" si="5"/>
        <v>#REF!</v>
      </c>
      <c r="K28" s="33"/>
      <c r="L28" s="33"/>
      <c r="M28" s="33"/>
      <c r="N28" s="33"/>
      <c r="O28" s="33"/>
      <c r="P28" s="33"/>
      <c r="Q28" s="32"/>
      <c r="R28" s="32"/>
      <c r="S28" s="6">
        <f t="shared" si="3"/>
        <v>0</v>
      </c>
      <c r="W28" s="197"/>
      <c r="X28" s="18"/>
      <c r="Y28" s="19"/>
      <c r="Z28" s="10" t="e">
        <f>#REF!</f>
        <v>#REF!</v>
      </c>
      <c r="AA28" s="6" t="s">
        <v>79</v>
      </c>
      <c r="AB28" s="7" t="e">
        <f>#REF!</f>
        <v>#REF!</v>
      </c>
    </row>
    <row r="29" spans="1:28" s="5" customFormat="1" ht="36.75" customHeight="1" thickBot="1" x14ac:dyDescent="0.35">
      <c r="A29" s="203"/>
      <c r="B29" s="14" t="s">
        <v>80</v>
      </c>
      <c r="C29" s="217"/>
      <c r="D29" s="218"/>
      <c r="E29" s="217"/>
      <c r="F29" s="219"/>
      <c r="G29" s="219"/>
      <c r="H29" s="220" t="e">
        <f t="shared" ref="H29:M29" si="6">SUM(H8:H27)</f>
        <v>#REF!</v>
      </c>
      <c r="I29" s="220" t="e">
        <f t="shared" si="6"/>
        <v>#REF!</v>
      </c>
      <c r="J29" s="220" t="e">
        <f t="shared" si="6"/>
        <v>#REF!</v>
      </c>
      <c r="K29" s="220" t="e">
        <f t="shared" si="6"/>
        <v>#REF!</v>
      </c>
      <c r="L29" s="220">
        <f t="shared" si="6"/>
        <v>0</v>
      </c>
      <c r="M29" s="220" t="e">
        <f t="shared" si="6"/>
        <v>#REF!</v>
      </c>
      <c r="N29" s="220"/>
      <c r="O29" s="220"/>
      <c r="P29" s="220" t="e">
        <f>SUM(P8:P27)</f>
        <v>#REF!</v>
      </c>
      <c r="Q29" s="220" t="e">
        <f>SUM(P8:P27)</f>
        <v>#REF!</v>
      </c>
      <c r="R29" s="220" t="e">
        <f>SUM(Q8:Q27)</f>
        <v>#REF!</v>
      </c>
      <c r="S29" s="221" t="e">
        <f>SUM(R8:R27)</f>
        <v>#REF!</v>
      </c>
      <c r="T29" s="199"/>
      <c r="U29" s="199"/>
      <c r="V29" s="199"/>
      <c r="W29" s="198">
        <f>SUM(W8:W27)</f>
        <v>0</v>
      </c>
      <c r="X29" s="15">
        <f>SUM(X8:X27)</f>
        <v>0</v>
      </c>
      <c r="Y29" s="15">
        <f>SUM(Y8:Y27)</f>
        <v>0</v>
      </c>
      <c r="Z29" s="3"/>
      <c r="AA29" s="4"/>
    </row>
    <row r="30" spans="1:28" ht="15.75" thickTop="1" x14ac:dyDescent="0.25"/>
    <row r="32" spans="1:28" x14ac:dyDescent="0.25">
      <c r="N32" s="13"/>
      <c r="O32" s="405"/>
      <c r="P32" s="405"/>
      <c r="Q32" s="405"/>
      <c r="R32" s="405"/>
      <c r="S32" s="405"/>
      <c r="T32" s="405"/>
      <c r="U32" s="405"/>
      <c r="V32" s="405"/>
      <c r="W32" s="405"/>
      <c r="X32" s="405"/>
      <c r="Y32" s="405"/>
    </row>
    <row r="33" spans="14:25" x14ac:dyDescent="0.25">
      <c r="N33" s="13"/>
      <c r="O33" s="405"/>
      <c r="P33" s="405"/>
      <c r="Q33" s="405"/>
      <c r="R33" s="405"/>
      <c r="S33" s="405"/>
      <c r="T33" s="405"/>
      <c r="U33" s="405"/>
      <c r="V33" s="405"/>
      <c r="W33" s="405"/>
      <c r="X33" s="405"/>
      <c r="Y33" s="405"/>
    </row>
    <row r="34" spans="14:25" x14ac:dyDescent="0.25">
      <c r="N34" s="13"/>
      <c r="O34" s="405"/>
      <c r="P34" s="405"/>
      <c r="Q34" s="405"/>
      <c r="R34" s="405"/>
      <c r="S34" s="405"/>
      <c r="T34" s="405"/>
      <c r="U34" s="405"/>
      <c r="V34" s="405"/>
      <c r="W34" s="405"/>
      <c r="X34" s="405"/>
      <c r="Y34" s="405"/>
    </row>
    <row r="35" spans="14:25" x14ac:dyDescent="0.25">
      <c r="N35" s="13"/>
      <c r="O35" s="13"/>
      <c r="P35" s="13"/>
      <c r="Q35" s="13"/>
      <c r="R35" s="13"/>
      <c r="S35" s="13"/>
      <c r="T35" s="13"/>
      <c r="U35" s="13"/>
      <c r="V35" s="13"/>
      <c r="W35" s="13"/>
      <c r="X35" s="13"/>
      <c r="Y35" s="13"/>
    </row>
    <row r="36" spans="14:25" x14ac:dyDescent="0.25">
      <c r="N36" s="13"/>
      <c r="O36" s="13"/>
      <c r="P36" s="13"/>
      <c r="Q36" s="13"/>
      <c r="R36" s="13"/>
      <c r="S36" s="13"/>
      <c r="T36" s="13"/>
      <c r="U36" s="13"/>
      <c r="V36" s="13"/>
      <c r="W36" s="13"/>
      <c r="X36" s="13"/>
      <c r="Y36" s="13"/>
    </row>
    <row r="37" spans="14:25" x14ac:dyDescent="0.25">
      <c r="N37" s="13"/>
      <c r="O37" s="13"/>
      <c r="P37" s="13"/>
      <c r="Q37" s="13"/>
      <c r="R37" s="13"/>
      <c r="S37" s="13"/>
      <c r="T37" s="13"/>
      <c r="U37" s="13"/>
      <c r="V37" s="13"/>
      <c r="W37" s="13"/>
      <c r="X37" s="13"/>
      <c r="Y37" s="13"/>
    </row>
    <row r="38" spans="14:25" x14ac:dyDescent="0.25">
      <c r="N38" s="13"/>
      <c r="O38" s="13"/>
      <c r="P38" s="13"/>
      <c r="Q38" s="13"/>
      <c r="R38" s="13"/>
      <c r="S38" s="13"/>
      <c r="T38" s="13"/>
      <c r="U38" s="13"/>
      <c r="V38" s="13"/>
      <c r="W38" s="13"/>
      <c r="X38" s="13"/>
      <c r="Y38" s="13"/>
    </row>
    <row r="39" spans="14:25" x14ac:dyDescent="0.25">
      <c r="N39" s="13"/>
      <c r="O39" s="13"/>
      <c r="P39" s="13"/>
      <c r="Q39" s="13"/>
      <c r="R39" s="13"/>
      <c r="S39" s="13"/>
      <c r="T39" s="13"/>
      <c r="U39" s="13"/>
      <c r="V39" s="13"/>
      <c r="W39" s="13"/>
      <c r="X39" s="13"/>
      <c r="Y39" s="13"/>
    </row>
    <row r="40" spans="14:25" x14ac:dyDescent="0.25">
      <c r="N40" s="13"/>
      <c r="O40" s="13"/>
      <c r="P40" s="13"/>
      <c r="Q40" s="13"/>
      <c r="R40" s="13"/>
      <c r="S40" s="13"/>
      <c r="T40" s="13"/>
      <c r="U40" s="13"/>
      <c r="V40" s="13"/>
      <c r="W40" s="13"/>
      <c r="X40" s="13"/>
      <c r="Y40" s="13"/>
    </row>
    <row r="41" spans="14:25" x14ac:dyDescent="0.25">
      <c r="N41" s="13"/>
      <c r="O41" s="405"/>
      <c r="P41" s="405"/>
      <c r="Q41" s="405"/>
      <c r="R41" s="405"/>
      <c r="S41" s="405"/>
      <c r="T41" s="405"/>
      <c r="U41" s="405"/>
      <c r="V41" s="405"/>
      <c r="W41" s="405"/>
      <c r="X41" s="405"/>
      <c r="Y41" s="405"/>
    </row>
  </sheetData>
  <mergeCells count="27">
    <mergeCell ref="A1:S1"/>
    <mergeCell ref="A2:S2"/>
    <mergeCell ref="A4:A6"/>
    <mergeCell ref="B4:B6"/>
    <mergeCell ref="C4:C6"/>
    <mergeCell ref="D4:D6"/>
    <mergeCell ref="E4:E6"/>
    <mergeCell ref="F4:F6"/>
    <mergeCell ref="G4:G6"/>
    <mergeCell ref="H4:M4"/>
    <mergeCell ref="H5:H6"/>
    <mergeCell ref="I5:J5"/>
    <mergeCell ref="K5:K6"/>
    <mergeCell ref="L5:M5"/>
    <mergeCell ref="N4:N6"/>
    <mergeCell ref="O32:Y32"/>
    <mergeCell ref="O33:Y33"/>
    <mergeCell ref="O34:Y34"/>
    <mergeCell ref="O41:Y41"/>
    <mergeCell ref="T4:T6"/>
    <mergeCell ref="U4:U6"/>
    <mergeCell ref="V4:V6"/>
    <mergeCell ref="O4:O6"/>
    <mergeCell ref="P4:P6"/>
    <mergeCell ref="Q4:Q6"/>
    <mergeCell ref="R4:R6"/>
    <mergeCell ref="S4:S6"/>
  </mergeCells>
  <printOptions horizontalCentered="1"/>
  <pageMargins left="0.15748031496062992" right="0.15748031496062992" top="0.39370078740157483" bottom="0.31496062992125984" header="0.19685039370078741" footer="0.27559055118110237"/>
  <pageSetup paperSize="9" scale="80" orientation="portrait" r:id="rId1"/>
  <colBreaks count="1" manualBreakCount="1">
    <brk id="1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38</vt:i4>
      </vt:variant>
      <vt:variant>
        <vt:lpstr>Named Ranges</vt:lpstr>
      </vt:variant>
      <vt:variant>
        <vt:i4>14</vt:i4>
      </vt:variant>
    </vt:vector>
  </HeadingPairs>
  <TitlesOfParts>
    <vt:vector size="52" baseType="lpstr">
      <vt:lpstr>foxz</vt:lpstr>
      <vt:lpstr>Ng Vũ Mạnh(5-23+86)</vt:lpstr>
      <vt:lpstr>Trần Cao Giới(5-43)</vt:lpstr>
      <vt:lpstr>Ng Thị Hòa(5-14)</vt:lpstr>
      <vt:lpstr>Ng Thị Hòa(5-68)</vt:lpstr>
      <vt:lpstr>Trần Đăng Định (4-53)</vt:lpstr>
      <vt:lpstr>Đỗ Thị Ngọc (5-7)</vt:lpstr>
      <vt:lpstr>Nguyễn Thị Vân (5-8)</vt:lpstr>
      <vt:lpstr>Nguyễn Văn Chiến (5-9)</vt:lpstr>
      <vt:lpstr>Bùi Văn Hồng</vt:lpstr>
      <vt:lpstr>Nguyễn Thị Nguyên (5-45)</vt:lpstr>
      <vt:lpstr>Trịnh Quang Lê (5-56)</vt:lpstr>
      <vt:lpstr>Nguyễn Đức Tú (6-62)</vt:lpstr>
      <vt:lpstr>Lê Văn Tâm (6-64)</vt:lpstr>
      <vt:lpstr>Nguyễn Vũ Mạnh (6-4)</vt:lpstr>
      <vt:lpstr>Nguyễn Bá Ước (6-3)</vt:lpstr>
      <vt:lpstr>Trần Trọng Hùng (6-55)</vt:lpstr>
      <vt:lpstr>Trịnh Văn Hưởng (6-63)</vt:lpstr>
      <vt:lpstr>Nguyễn Ngọc Dũng (5-81)</vt:lpstr>
      <vt:lpstr>Lưu Công Sơn (5-59)</vt:lpstr>
      <vt:lpstr>Vũ Viết Chinh (5-79)</vt:lpstr>
      <vt:lpstr>Lê Tiến Nguyễn(8-27)</vt:lpstr>
      <vt:lpstr>Nguyễn Thị Phương Mai (5-80)</vt:lpstr>
      <vt:lpstr>Trần Thi Út(5-82)</vt:lpstr>
      <vt:lpstr>Ng Đình Khánh</vt:lpstr>
      <vt:lpstr>Ng Thị Mến</vt:lpstr>
      <vt:lpstr>Ng Đắc Vũ(4-24)</vt:lpstr>
      <vt:lpstr>Ng Ngọc Dũng(06-53)</vt:lpstr>
      <vt:lpstr>Đỗ Huy Thành(4-8)</vt:lpstr>
      <vt:lpstr>Ng Văn Đẩu(7-25)</vt:lpstr>
      <vt:lpstr>Ng Văn Sang(7-26)</vt:lpstr>
      <vt:lpstr>Trần Huy Chuyển(8-34)</vt:lpstr>
      <vt:lpstr>Trần Huy Chuyển(8-37)</vt:lpstr>
      <vt:lpstr>Ng Thị Sinh(8-17)</vt:lpstr>
      <vt:lpstr>BẢNG TỔNG HỢP</vt:lpstr>
      <vt:lpstr>Danh sách ky nhận PA</vt:lpstr>
      <vt:lpstr>DS nhận Giấy mời</vt:lpstr>
      <vt:lpstr>DS nhận Giấy mời (2)</vt:lpstr>
      <vt:lpstr>'Ng Thị Hòa(5-14)'!_Hlk218073730</vt:lpstr>
      <vt:lpstr>'Ng Thị Hòa(5-14)'!_Hlk218762431</vt:lpstr>
      <vt:lpstr>'Trần Cao Giới(5-43)'!_Hlk218953081</vt:lpstr>
      <vt:lpstr>'Ng Thị Sinh(8-17)'!_Hlk219100896</vt:lpstr>
      <vt:lpstr>'Trần Huy Chuyển(8-37)'!_Hlk219100896</vt:lpstr>
      <vt:lpstr>'Nguyễn Thị Nguyên (5-45)'!_Hlk219104972</vt:lpstr>
      <vt:lpstr>'BẢNG TỔNG HỢP'!Print_Area</vt:lpstr>
      <vt:lpstr>'Danh sách ky nhận PA'!Print_Area</vt:lpstr>
      <vt:lpstr>'DS nhận Giấy mời'!Print_Area</vt:lpstr>
      <vt:lpstr>'DS nhận Giấy mời (2)'!Print_Area</vt:lpstr>
      <vt:lpstr>'BẢNG TỔNG HỢP'!Print_Titles</vt:lpstr>
      <vt:lpstr>'Danh sách ky nhận PA'!Print_Titles</vt:lpstr>
      <vt:lpstr>'DS nhận Giấy mời'!Print_Titles</vt:lpstr>
      <vt:lpstr>'DS nhận Giấy mời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2026-03-09T03:48:11Z</cp:lastPrinted>
  <dcterms:created xsi:type="dcterms:W3CDTF">2025-10-22T03:25:09Z</dcterms:created>
  <dcterms:modified xsi:type="dcterms:W3CDTF">2026-03-09T03:58:46Z</dcterms:modified>
</cp:coreProperties>
</file>